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3"/>
  </bookViews>
  <sheets>
    <sheet name="Bal sheet" sheetId="1" r:id="rId1"/>
    <sheet name="income sta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</externalReferences>
  <definedNames>
    <definedName name="_xlnm.Print_Area" localSheetId="1">'income stat'!$A$1:$K$51</definedName>
  </definedNames>
  <calcPr fullCalcOnLoad="1"/>
</workbook>
</file>

<file path=xl/sharedStrings.xml><?xml version="1.0" encoding="utf-8"?>
<sst xmlns="http://schemas.openxmlformats.org/spreadsheetml/2006/main" count="161" uniqueCount="126">
  <si>
    <t>(The firgures have not been audited)</t>
  </si>
  <si>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</si>
  <si>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</si>
  <si>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</si>
  <si>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</si>
  <si>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</si>
  <si>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</si>
  <si>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</si>
  <si>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</si>
  <si>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</si>
  <si>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</si>
  <si>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</si>
  <si>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</si>
  <si>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</si>
  <si>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Short term borrowings</t>
  </si>
  <si>
    <t xml:space="preserve">   Dividend payable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</si>
  <si>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</si>
  <si>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</si>
  <si>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</si>
  <si>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</si>
  <si>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</si>
  <si>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</si>
  <si>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</si>
  <si>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</si>
  <si>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</si>
  <si>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</si>
  <si>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</si>
  <si>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</si>
  <si>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</si>
  <si>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</si>
  <si>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</si>
  <si>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</si>
  <si>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</si>
  <si>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</si>
  <si>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</si>
  <si>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</si>
  <si>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</si>
  <si>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</si>
  <si>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</si>
  <si>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</si>
  <si>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</si>
  <si>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</si>
  <si>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</si>
  <si>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</si>
  <si>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</si>
  <si>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</si>
  <si>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</si>
  <si>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</si>
  <si>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</si>
  <si>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</si>
  <si>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Interest paid</t>
  </si>
  <si>
    <t>Tax paid</t>
  </si>
  <si>
    <t>CASH FLOWS FROM INVESTING ACTIVITIES</t>
  </si>
  <si>
    <t>Other investments</t>
  </si>
  <si>
    <t>CASH FLOWS FROM FINANCING ACTIVITIES</t>
  </si>
  <si>
    <t>Bank borrowings</t>
  </si>
  <si>
    <t>Dividend paid to the shareholders of the Company</t>
  </si>
  <si>
    <t xml:space="preserve">   Taxation</t>
  </si>
  <si>
    <t>Proceed from issuance of new ordinary shares</t>
  </si>
  <si>
    <t>Issuance of new ordinary shares</t>
  </si>
  <si>
    <t>Share of results of  jointly controlled entities</t>
  </si>
  <si>
    <t xml:space="preserve"> this interim financial report)</t>
  </si>
  <si>
    <t>Share of results of an associated company</t>
  </si>
  <si>
    <t>Investment in an associated company</t>
  </si>
  <si>
    <t>31/03/06</t>
  </si>
  <si>
    <t xml:space="preserve">   Amount owing by an associated company</t>
  </si>
  <si>
    <t xml:space="preserve">Net assets per share (RM) </t>
  </si>
  <si>
    <t>Net assets per share attributable to ordinary</t>
  </si>
  <si>
    <t>shareholders of the parent (RM)</t>
  </si>
  <si>
    <t>Tax expense</t>
  </si>
  <si>
    <t>Profit for the period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</si>
  <si>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</si>
  <si>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</si>
  <si>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</si>
  <si>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</si>
  <si>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</si>
  <si>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</si>
  <si>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Minority</t>
  </si>
  <si>
    <t>Distributable</t>
  </si>
  <si>
    <t>Non-distributable</t>
  </si>
  <si>
    <t>equity</t>
  </si>
  <si>
    <t>At 1 April 2006</t>
  </si>
  <si>
    <t>Amortisation of reserve on consolidation,</t>
  </si>
  <si>
    <t>Total recognised income and expense</t>
  </si>
  <si>
    <t xml:space="preserve">  for the period</t>
  </si>
  <si>
    <t xml:space="preserve">  representing net expense recognised directly in equity</t>
  </si>
  <si>
    <t>Net cash outflow from investing activities</t>
  </si>
  <si>
    <t>Net cash (outflow)/inflow from operating activities</t>
  </si>
  <si>
    <t>Net (decrease)/increase in cash and cash equivalents</t>
  </si>
  <si>
    <t>Cash and cash equivalents at beginning of financial period</t>
  </si>
  <si>
    <t>Cash and cash equivalents at end of financial period</t>
  </si>
  <si>
    <t>(The notes set out on pages 5 to 11 form an integral part of and should be read in conjunction with this</t>
  </si>
  <si>
    <t xml:space="preserve">At 1 April 2005 </t>
  </si>
  <si>
    <t>Cash (used in)/generated from operations</t>
  </si>
  <si>
    <t>Attributable to equity holders of the parent</t>
  </si>
  <si>
    <t>Negative</t>
  </si>
  <si>
    <t>goodwill</t>
  </si>
  <si>
    <t>Profit for the financial period</t>
  </si>
  <si>
    <t>Effects of adopting FRS 3</t>
  </si>
  <si>
    <t>interests</t>
  </si>
  <si>
    <t>Amortisation of negative goodwill</t>
  </si>
  <si>
    <t>Second quarter interim report for the financial period ended 30 September 2006</t>
  </si>
  <si>
    <t>30/09/06</t>
  </si>
  <si>
    <t>30/09/05</t>
  </si>
  <si>
    <t>Net cash inflow/(outflow) from financing activities</t>
  </si>
  <si>
    <t>Investment in a jointly controlled entity</t>
  </si>
  <si>
    <t>Current Assets</t>
  </si>
  <si>
    <t xml:space="preserve">   Amount owing by a jointly controlled entity</t>
  </si>
  <si>
    <t xml:space="preserve">   Amount owing to a jointly controlled entity</t>
  </si>
  <si>
    <t xml:space="preserve">   Amount owing to an associated company</t>
  </si>
  <si>
    <t>Net Current Assets</t>
  </si>
  <si>
    <t xml:space="preserve">EQUITY AND LIABILITIES </t>
  </si>
  <si>
    <t>Share Capital</t>
  </si>
  <si>
    <t>Reserves</t>
  </si>
  <si>
    <t xml:space="preserve">   Retained profits</t>
  </si>
  <si>
    <t xml:space="preserve">   Share premium</t>
  </si>
  <si>
    <t xml:space="preserve">   Negative goodwill</t>
  </si>
  <si>
    <t>Equity atttributable to equity holders of the parent</t>
  </si>
  <si>
    <t>Total equity</t>
  </si>
  <si>
    <t>Deferred Liabilities</t>
  </si>
  <si>
    <t xml:space="preserve">                 </t>
  </si>
  <si>
    <t xml:space="preserve">(The notes set out on pages 5 to 11 form an integral part of and should be read in conjunction with </t>
  </si>
  <si>
    <t xml:space="preserve">At 30 September 2005 </t>
  </si>
  <si>
    <t>At 30 September 2006</t>
  </si>
  <si>
    <t>Dividend payable in respect of financial</t>
  </si>
  <si>
    <t>year ended 31 March 2006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</si>
</sst>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172" fontId="0" fillId="0" borderId="0" xfId="0" applyAlignment="1">
      <alignment/>
    </xf>
    <xf numFmtId="172" fontId="3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64" fontId="4" fillId="0" borderId="0" xfId="15" applyNumberFormat="1" applyFont="1" applyBorder="1" applyAlignment="1">
      <alignment/>
    </xf>
    <xf numFmtId="172" fontId="4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72" fontId="3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72" fontId="4" fillId="0" borderId="0" xfId="0" applyFont="1" applyAlignment="1">
      <alignment horizontal="right"/>
    </xf>
    <xf numFmtId="172" fontId="3" fillId="0" borderId="0" xfId="0" applyFont="1" applyAlignment="1">
      <alignment horizontal="right"/>
    </xf>
    <xf numFmtId="164" fontId="3" fillId="0" borderId="0" xfId="15" applyNumberFormat="1" applyFont="1" applyAlignment="1" quotePrefix="1">
      <alignment horizontal="right"/>
    </xf>
    <xf numFmtId="164" fontId="3" fillId="0" borderId="0" xfId="15" applyNumberFormat="1" applyFont="1" applyAlignment="1">
      <alignment horizontal="right"/>
    </xf>
    <xf numFmtId="172" fontId="3" fillId="0" borderId="0" xfId="0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72" fontId="4" fillId="0" borderId="0" xfId="0" applyFont="1" applyAlignment="1">
      <alignment horizontal="left"/>
    </xf>
    <xf numFmtId="164" fontId="4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172" fontId="3" fillId="0" borderId="0" xfId="0" applyFont="1" applyAlignment="1" quotePrefix="1">
      <alignment horizontal="centerContinuous"/>
    </xf>
    <xf numFmtId="164" fontId="4" fillId="0" borderId="0" xfId="15" applyNumberFormat="1" applyFont="1" applyFill="1" applyAlignment="1">
      <alignment/>
    </xf>
    <xf numFmtId="172" fontId="4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center"/>
    </xf>
    <xf numFmtId="172" fontId="4" fillId="0" borderId="0" xfId="0" applyFont="1" applyFill="1" applyAlignment="1" quotePrefix="1">
      <alignment horizontal="center"/>
    </xf>
    <xf numFmtId="164" fontId="3" fillId="0" borderId="0" xfId="15" applyNumberFormat="1" applyFont="1" applyFill="1" applyAlignment="1" quotePrefix="1">
      <alignment horizontal="centerContinuous"/>
    </xf>
    <xf numFmtId="164" fontId="3" fillId="0" borderId="0" xfId="15" applyNumberFormat="1" applyFont="1" applyFill="1" applyAlignment="1">
      <alignment horizontal="centerContinuous"/>
    </xf>
    <xf numFmtId="172" fontId="3" fillId="0" borderId="0" xfId="0" applyFont="1" applyFill="1" applyAlignment="1">
      <alignment/>
    </xf>
    <xf numFmtId="172" fontId="3" fillId="0" borderId="0" xfId="0" applyFont="1" applyFill="1" applyAlignment="1">
      <alignment horizontal="centerContinuous"/>
    </xf>
    <xf numFmtId="164" fontId="3" fillId="0" borderId="0" xfId="15" applyNumberFormat="1" applyFont="1" applyFill="1" applyAlignment="1">
      <alignment horizontal="right"/>
    </xf>
    <xf numFmtId="172" fontId="3" fillId="0" borderId="0" xfId="0" applyFont="1" applyFill="1" applyAlignment="1">
      <alignment horizontal="right"/>
    </xf>
    <xf numFmtId="164" fontId="3" fillId="0" borderId="0" xfId="15" applyNumberFormat="1" applyFont="1" applyFill="1" applyAlignment="1">
      <alignment horizontal="center"/>
    </xf>
    <xf numFmtId="172" fontId="3" fillId="0" borderId="0" xfId="0" applyFont="1" applyFill="1" applyAlignment="1">
      <alignment horizontal="center"/>
    </xf>
    <xf numFmtId="164" fontId="3" fillId="0" borderId="0" xfId="15" applyNumberFormat="1" applyFont="1" applyFill="1" applyAlignment="1" quotePrefix="1">
      <alignment horizontal="right"/>
    </xf>
    <xf numFmtId="172" fontId="3" fillId="0" borderId="0" xfId="0" applyFont="1" applyFill="1" applyAlignment="1" quotePrefix="1">
      <alignment horizontal="right"/>
    </xf>
    <xf numFmtId="164" fontId="4" fillId="0" borderId="0" xfId="15" applyNumberFormat="1" applyFont="1" applyFill="1" applyAlignment="1">
      <alignment horizontal="center"/>
    </xf>
    <xf numFmtId="172" fontId="4" fillId="0" borderId="0" xfId="0" applyFont="1" applyFill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172" fontId="4" fillId="0" borderId="0" xfId="0" applyFont="1" applyFill="1" applyBorder="1" applyAlignment="1">
      <alignment horizontal="center"/>
    </xf>
    <xf numFmtId="164" fontId="4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172" fontId="4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 quotePrefix="1">
      <alignment horizontal="left"/>
    </xf>
    <xf numFmtId="164" fontId="4" fillId="0" borderId="0" xfId="15" applyNumberFormat="1" applyFont="1" applyFill="1" applyBorder="1" applyAlignment="1" quotePrefix="1">
      <alignment horizontal="left"/>
    </xf>
    <xf numFmtId="172" fontId="4" fillId="0" borderId="0" xfId="0" applyFont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 horizontal="center"/>
    </xf>
    <xf numFmtId="172" fontId="4" fillId="0" borderId="0" xfId="0" applyFont="1" applyBorder="1" applyAlignment="1">
      <alignment/>
    </xf>
    <xf numFmtId="164" fontId="3" fillId="0" borderId="1" xfId="15" applyNumberFormat="1" applyFont="1" applyFill="1" applyBorder="1" applyAlignment="1" quotePrefix="1">
      <alignment/>
    </xf>
    <xf numFmtId="43" fontId="3" fillId="0" borderId="2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3" fillId="0" borderId="3" xfId="15" applyNumberFormat="1" applyFont="1" applyFill="1" applyBorder="1" applyAlignment="1">
      <alignment horizontal="right"/>
    </xf>
    <xf numFmtId="43" fontId="4" fillId="0" borderId="3" xfId="15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right"/>
    </xf>
    <xf numFmtId="172" fontId="3" fillId="0" borderId="0" xfId="0" applyFont="1" applyAlignment="1">
      <alignment horizontal="centerContinuous"/>
    </xf>
    <xf numFmtId="172" fontId="3" fillId="0" borderId="0" xfId="0" applyFont="1" applyAlignment="1" quotePrefix="1">
      <alignment horizontal="right"/>
    </xf>
    <xf numFmtId="164" fontId="3" fillId="0" borderId="4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72" fontId="5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64" fontId="3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72" fontId="6" fillId="0" borderId="0" xfId="0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72" fontId="3" fillId="0" borderId="0" xfId="0" applyFont="1" applyAlignment="1">
      <alignment horizontal="center"/>
    </xf>
    <xf numFmtId="172" fontId="3" fillId="0" borderId="0" xfId="0" applyFont="1" applyAlignment="1" quotePrefix="1">
      <alignment horizontal="center"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 quotePrefix="1">
      <alignment horizontal="center"/>
    </xf>
    <xf numFmtId="172" fontId="4" fillId="0" borderId="1" xfId="0" applyFont="1" applyBorder="1" applyAlignment="1">
      <alignment/>
    </xf>
    <xf numFmtId="172" fontId="4" fillId="0" borderId="2" xfId="0" applyFont="1" applyBorder="1" applyAlignment="1">
      <alignment/>
    </xf>
    <xf numFmtId="172" fontId="4" fillId="0" borderId="4" xfId="0" applyFont="1" applyBorder="1" applyAlignment="1">
      <alignment/>
    </xf>
    <xf numFmtId="43" fontId="4" fillId="0" borderId="0" xfId="15" applyFont="1" applyBorder="1" applyAlignment="1">
      <alignment/>
    </xf>
    <xf numFmtId="172" fontId="7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64" fontId="8" fillId="0" borderId="0" xfId="15" applyNumberFormat="1" applyFont="1" applyBorder="1" applyAlignment="1">
      <alignment/>
    </xf>
    <xf numFmtId="172" fontId="8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172" fontId="8" fillId="0" borderId="0" xfId="0" applyFont="1" applyAlignment="1">
      <alignment horizontal="right"/>
    </xf>
    <xf numFmtId="172" fontId="7" fillId="0" borderId="0" xfId="0" applyFont="1" applyAlignment="1">
      <alignment horizontal="right"/>
    </xf>
    <xf numFmtId="164" fontId="7" fillId="0" borderId="0" xfId="15" applyNumberFormat="1" applyFont="1" applyAlignment="1" quotePrefix="1">
      <alignment horizontal="right"/>
    </xf>
    <xf numFmtId="164" fontId="7" fillId="0" borderId="0" xfId="15" applyNumberFormat="1" applyFont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7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172" fontId="8" fillId="0" borderId="0" xfId="0" applyFont="1" applyAlignment="1" quotePrefix="1">
      <alignment horizontal="left"/>
    </xf>
    <xf numFmtId="164" fontId="7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8" fillId="0" borderId="8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7" fillId="0" borderId="7" xfId="15" applyNumberFormat="1" applyFont="1" applyBorder="1" applyAlignment="1" quotePrefix="1">
      <alignment horizontal="left"/>
    </xf>
    <xf numFmtId="164" fontId="8" fillId="0" borderId="7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72" fontId="7" fillId="0" borderId="0" xfId="0" applyFont="1" applyAlignment="1" quotePrefix="1">
      <alignment horizontal="left"/>
    </xf>
    <xf numFmtId="164" fontId="7" fillId="0" borderId="10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72" fontId="8" fillId="0" borderId="0" xfId="0" applyFont="1" applyAlignment="1">
      <alignment horizontal="left"/>
    </xf>
    <xf numFmtId="43" fontId="7" fillId="0" borderId="0" xfId="15" applyFont="1" applyAlignment="1">
      <alignment/>
    </xf>
    <xf numFmtId="43" fontId="8" fillId="0" borderId="0" xfId="15" applyFont="1" applyAlignment="1">
      <alignment/>
    </xf>
    <xf numFmtId="164" fontId="7" fillId="0" borderId="0" xfId="15" applyNumberFormat="1" applyFont="1" applyFill="1" applyAlignment="1">
      <alignment/>
    </xf>
    <xf numFmtId="172" fontId="4" fillId="0" borderId="0" xfId="0" applyFont="1" applyAlignment="1" quotePrefix="1">
      <alignment horizontal="center"/>
    </xf>
    <xf numFmtId="172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533650" y="15525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104775</xdr:rowOff>
    </xdr:from>
    <xdr:to>
      <xdr:col>12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515100" y="1571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457200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3609975" y="1724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9</xdr:row>
      <xdr:rowOff>66675</xdr:rowOff>
    </xdr:from>
    <xdr:to>
      <xdr:col>7</xdr:col>
      <xdr:colOff>923925</xdr:colOff>
      <xdr:row>9</xdr:row>
      <xdr:rowOff>66675</xdr:rowOff>
    </xdr:to>
    <xdr:sp>
      <xdr:nvSpPr>
        <xdr:cNvPr id="4" name="Line 7"/>
        <xdr:cNvSpPr>
          <a:spLocks/>
        </xdr:cNvSpPr>
      </xdr:nvSpPr>
      <xdr:spPr>
        <a:xfrm>
          <a:off x="4972050" y="1724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1st%20Quartel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2nd%20Quartely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-1st%20Quartely%20Report%20Junec%202006-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6"/>
      <sheetName val="Diluted0606"/>
      <sheetName val="ROA"/>
      <sheetName val="JV-FPEQ'06"/>
      <sheetName val="JV-MUSASHI'06"/>
      <sheetName val="CONSOL ADJ"/>
      <sheetName val="PROF OF MI"/>
      <sheetName val="CONSOL-BS"/>
      <sheetName val="CONSOL-IS"/>
      <sheetName val="CONSOL-CF"/>
      <sheetName val="FPEQ-BS-6'2006"/>
      <sheetName val="FPEQ-PL-6'2006"/>
      <sheetName val="CONSOL-CF-FPT"/>
      <sheetName val="CONSOL-BS-FPT"/>
      <sheetName val="CONSOL-PL-FPT"/>
      <sheetName val="FPC-PL-6'2006"/>
      <sheetName val="FPC-BS-6'2006"/>
      <sheetName val="FPT-BS-6'2006"/>
      <sheetName val="FPT-PL-6'2006"/>
      <sheetName val="ACOU-BS-6'2006"/>
      <sheetName val="ACOU-PL-6'2006"/>
      <sheetName val="Working 1"/>
      <sheetName val="result"/>
      <sheetName val="taxation"/>
    </sheetNames>
    <sheetDataSet>
      <sheetData sheetId="2">
        <row r="24">
          <cell r="D24">
            <v>2.8982685217080717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Q-PRICE"/>
      <sheetName val="Basic0906"/>
      <sheetName val="Diluted0906"/>
      <sheetName val="ROA"/>
      <sheetName val="JV-FPEQ'09"/>
      <sheetName val="JV-MUSASHI'09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T-BS-9'2006"/>
      <sheetName val="FPT-PL-9'2006"/>
      <sheetName val="FPEQ-BS-9'2006"/>
      <sheetName val="FPEQ-PL-9'2006"/>
      <sheetName val="FPC-BS-9'2006"/>
      <sheetName val="FPC-PL-9'2006"/>
      <sheetName val="ACOU-BS-9'2006"/>
      <sheetName val="ACOU-PL-9'2006"/>
      <sheetName val="Working 1"/>
      <sheetName val="result"/>
      <sheetName val="taxation"/>
    </sheetNames>
    <sheetDataSet>
      <sheetData sheetId="1">
        <row r="64">
          <cell r="C64">
            <v>7.467333009818435</v>
          </cell>
        </row>
        <row r="103">
          <cell r="C103">
            <v>4.526449541828166</v>
          </cell>
        </row>
      </sheetData>
      <sheetData sheetId="2">
        <row r="24">
          <cell r="D24">
            <v>7.3918109827028715</v>
          </cell>
        </row>
        <row r="46">
          <cell r="D46">
            <v>4.477392908505133</v>
          </cell>
        </row>
      </sheetData>
      <sheetData sheetId="8">
        <row r="10">
          <cell r="U10">
            <v>48925590.07</v>
          </cell>
        </row>
        <row r="17">
          <cell r="U17">
            <v>2664469.465</v>
          </cell>
        </row>
        <row r="20">
          <cell r="U20">
            <v>7648061.785999998</v>
          </cell>
        </row>
        <row r="25">
          <cell r="U25">
            <v>3755629.71</v>
          </cell>
        </row>
        <row r="29">
          <cell r="U29">
            <v>28071937.79</v>
          </cell>
        </row>
        <row r="30">
          <cell r="U30">
            <v>104058520.56</v>
          </cell>
        </row>
        <row r="31">
          <cell r="U31">
            <v>725939.1099999999</v>
          </cell>
        </row>
        <row r="35">
          <cell r="U35">
            <v>336523.33</v>
          </cell>
        </row>
        <row r="38">
          <cell r="U38">
            <v>-16856.29</v>
          </cell>
        </row>
        <row r="48">
          <cell r="U48">
            <v>13190232.96</v>
          </cell>
        </row>
        <row r="49">
          <cell r="U49">
            <v>24978205.84</v>
          </cell>
        </row>
        <row r="54">
          <cell r="U54">
            <v>50003236.08</v>
          </cell>
        </row>
        <row r="55">
          <cell r="U55">
            <v>6913055.0200000005</v>
          </cell>
        </row>
        <row r="57">
          <cell r="U57">
            <v>278892.53</v>
          </cell>
        </row>
        <row r="64">
          <cell r="U64">
            <v>7462221.15</v>
          </cell>
        </row>
        <row r="67">
          <cell r="U67">
            <v>1249</v>
          </cell>
        </row>
        <row r="69">
          <cell r="U69">
            <v>12150000</v>
          </cell>
        </row>
        <row r="70">
          <cell r="U70">
            <v>2409647.01</v>
          </cell>
        </row>
        <row r="79">
          <cell r="U79">
            <v>85902700</v>
          </cell>
        </row>
        <row r="85">
          <cell r="U85">
            <v>6614940.36</v>
          </cell>
        </row>
        <row r="95">
          <cell r="U95">
            <v>54609225.28824002</v>
          </cell>
        </row>
        <row r="99">
          <cell r="U99">
            <v>4781087.65860734</v>
          </cell>
        </row>
        <row r="107">
          <cell r="U107">
            <v>3212000</v>
          </cell>
        </row>
      </sheetData>
      <sheetData sheetId="9">
        <row r="9">
          <cell r="U9">
            <v>176140475.17000002</v>
          </cell>
        </row>
        <row r="29">
          <cell r="U29">
            <v>252091.15999999997</v>
          </cell>
        </row>
        <row r="32">
          <cell r="U32">
            <v>14257501.79000002</v>
          </cell>
        </row>
        <row r="48">
          <cell r="U48">
            <v>1444319.2600000002</v>
          </cell>
        </row>
        <row r="50">
          <cell r="U50">
            <v>1207104.7859999998</v>
          </cell>
        </row>
        <row r="52">
          <cell r="U52">
            <v>189887.965</v>
          </cell>
        </row>
        <row r="65">
          <cell r="U65">
            <v>-3532811</v>
          </cell>
        </row>
        <row r="69">
          <cell r="U69">
            <v>-876906.6352599999</v>
          </cell>
        </row>
      </sheetData>
      <sheetData sheetId="10">
        <row r="10">
          <cell r="Z10">
            <v>17098813.801000018</v>
          </cell>
        </row>
        <row r="14">
          <cell r="Z14">
            <v>2089068.7</v>
          </cell>
        </row>
        <row r="18">
          <cell r="Z18">
            <v>30428.329999999998</v>
          </cell>
        </row>
        <row r="19">
          <cell r="Z19">
            <v>238258.06</v>
          </cell>
        </row>
        <row r="21">
          <cell r="Z21">
            <v>-1207104.7859999998</v>
          </cell>
        </row>
        <row r="22">
          <cell r="Z22">
            <v>-189887.965</v>
          </cell>
        </row>
        <row r="23">
          <cell r="Z23">
            <v>-198672.13999999998</v>
          </cell>
        </row>
        <row r="25">
          <cell r="Z25">
            <v>-109385.5</v>
          </cell>
        </row>
        <row r="43">
          <cell r="Z43">
            <v>-2045091.8599999864</v>
          </cell>
        </row>
        <row r="45">
          <cell r="Z45">
            <v>-238258.06</v>
          </cell>
        </row>
        <row r="46">
          <cell r="Z46">
            <v>1110043</v>
          </cell>
        </row>
        <row r="47">
          <cell r="Z47">
            <v>-2567517</v>
          </cell>
        </row>
        <row r="54">
          <cell r="Z54">
            <v>198672.13999999998</v>
          </cell>
        </row>
        <row r="58">
          <cell r="Z58">
            <v>116000</v>
          </cell>
        </row>
        <row r="60">
          <cell r="Z60">
            <v>-1841672</v>
          </cell>
        </row>
        <row r="71">
          <cell r="Z71">
            <v>5302000</v>
          </cell>
        </row>
        <row r="75">
          <cell r="Z75">
            <v>2524932</v>
          </cell>
        </row>
        <row r="83">
          <cell r="Z83">
            <v>-5433934</v>
          </cell>
        </row>
        <row r="88">
          <cell r="Z88">
            <v>-5460</v>
          </cell>
        </row>
        <row r="99">
          <cell r="Z99">
            <v>41048725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balance sheet-old format"/>
      <sheetName val="income stat"/>
      <sheetName val="equity"/>
      <sheetName val="cash flow"/>
    </sheetNames>
    <sheetDataSet>
      <sheetData sheetId="2">
        <row r="17">
          <cell r="D17">
            <v>75184.86873</v>
          </cell>
        </row>
        <row r="19">
          <cell r="D19">
            <v>-69075.09847</v>
          </cell>
        </row>
        <row r="21">
          <cell r="D21">
            <v>571.83527</v>
          </cell>
        </row>
        <row r="25">
          <cell r="D25">
            <v>-126.00305999999999</v>
          </cell>
        </row>
        <row r="27">
          <cell r="D27">
            <v>491.75910431999995</v>
          </cell>
        </row>
        <row r="29">
          <cell r="D29">
            <v>105.76835999999999</v>
          </cell>
        </row>
        <row r="33">
          <cell r="D33">
            <v>-1750.796</v>
          </cell>
        </row>
        <row r="39">
          <cell r="D39">
            <v>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="80" zoomScaleNormal="80" workbookViewId="0" topLeftCell="A1">
      <selection activeCell="D43" sqref="D43"/>
    </sheetView>
  </sheetViews>
  <sheetFormatPr defaultColWidth="9.140625" defaultRowHeight="12.75"/>
  <cols>
    <col min="1" max="1" width="2.7109375" style="79" customWidth="1"/>
    <col min="2" max="2" width="44.28125" style="79" customWidth="1"/>
    <col min="3" max="3" width="0.42578125" style="79" customWidth="1"/>
    <col min="4" max="4" width="15.28125" style="80" customWidth="1"/>
    <col min="5" max="5" width="1.1484375" style="81" customWidth="1"/>
    <col min="6" max="6" width="15.28125" style="81" customWidth="1"/>
    <col min="7" max="7" width="1.1484375" style="79" customWidth="1"/>
    <col min="8" max="8" width="17.140625" style="81" customWidth="1"/>
    <col min="9" max="16384" width="9.140625" style="79" customWidth="1"/>
  </cols>
  <sheetData>
    <row r="1" spans="1:8" ht="19.5" customHeight="1">
      <c r="A1" s="76"/>
      <c r="B1" s="77"/>
      <c r="C1" s="77"/>
      <c r="D1" s="77"/>
      <c r="E1" s="77"/>
      <c r="F1" s="77"/>
      <c r="G1" s="77"/>
      <c r="H1" s="78"/>
    </row>
    <row r="2" spans="1:8" ht="11.25" customHeight="1">
      <c r="A2" s="77"/>
      <c r="B2" s="77"/>
      <c r="C2" s="77"/>
      <c r="D2" s="77"/>
      <c r="E2" s="77"/>
      <c r="F2" s="77"/>
      <c r="G2" s="77"/>
      <c r="H2" s="78"/>
    </row>
    <row r="3" spans="1:8" ht="11.25" customHeight="1">
      <c r="A3" s="77"/>
      <c r="B3" s="77"/>
      <c r="C3" s="77"/>
      <c r="D3" s="77"/>
      <c r="E3" s="77"/>
      <c r="F3" s="77"/>
      <c r="G3" s="77"/>
      <c r="H3" s="78"/>
    </row>
    <row r="4" spans="1:8" ht="11.25" customHeight="1">
      <c r="A4" s="77"/>
      <c r="B4" s="77"/>
      <c r="C4" s="77"/>
      <c r="D4" s="77"/>
      <c r="E4" s="77"/>
      <c r="F4" s="77"/>
      <c r="G4" s="77"/>
      <c r="H4" s="78"/>
    </row>
    <row r="5" spans="1:8" ht="11.25" customHeight="1">
      <c r="A5" s="77"/>
      <c r="B5" s="77"/>
      <c r="C5" s="77"/>
      <c r="D5" s="77"/>
      <c r="E5" s="77"/>
      <c r="F5" s="77"/>
      <c r="G5" s="77"/>
      <c r="H5" s="78"/>
    </row>
    <row r="6" spans="1:8" ht="11.25" customHeight="1">
      <c r="A6" s="77"/>
      <c r="B6" s="77"/>
      <c r="C6" s="77"/>
      <c r="D6" s="77"/>
      <c r="E6" s="77"/>
      <c r="F6" s="77"/>
      <c r="G6" s="77"/>
      <c r="H6" s="78"/>
    </row>
    <row r="7" ht="11.25" customHeight="1">
      <c r="H7" s="78"/>
    </row>
    <row r="8" spans="1:8" ht="14.25">
      <c r="A8" s="7" t="s">
        <v>101</v>
      </c>
      <c r="H8" s="78"/>
    </row>
    <row r="9" spans="1:8" ht="15">
      <c r="A9" s="8" t="s">
        <v>0</v>
      </c>
      <c r="H9" s="78"/>
    </row>
    <row r="10" ht="12.75">
      <c r="H10" s="78"/>
    </row>
    <row r="11" spans="1:8" ht="12.75">
      <c r="A11" s="76" t="s">
        <v>1</v>
      </c>
      <c r="H11" s="78"/>
    </row>
    <row r="12" spans="2:8" s="82" customFormat="1" ht="12.75">
      <c r="B12" s="83"/>
      <c r="D12" s="84" t="s">
        <v>102</v>
      </c>
      <c r="E12" s="85"/>
      <c r="F12" s="84" t="s">
        <v>64</v>
      </c>
      <c r="H12" s="86"/>
    </row>
    <row r="13" spans="4:8" s="82" customFormat="1" ht="12.75">
      <c r="D13" s="85" t="s">
        <v>2</v>
      </c>
      <c r="E13" s="85"/>
      <c r="F13" s="85" t="s">
        <v>2</v>
      </c>
      <c r="G13" s="83"/>
      <c r="H13" s="87"/>
    </row>
    <row r="14" spans="2:8" ht="12.75">
      <c r="B14" s="88"/>
      <c r="H14" s="78"/>
    </row>
    <row r="15" spans="2:8" ht="12.75">
      <c r="B15" s="79" t="s">
        <v>3</v>
      </c>
      <c r="D15" s="80">
        <f>+'[2]CONSOL-BS'!$U$10/1000</f>
        <v>48925.59007</v>
      </c>
      <c r="F15" s="81">
        <v>49210</v>
      </c>
      <c r="H15" s="78"/>
    </row>
    <row r="16" spans="2:8" ht="12.75">
      <c r="B16" s="89" t="s">
        <v>105</v>
      </c>
      <c r="D16" s="80">
        <f>+'[2]CONSOL-BS'!$U$17/1000</f>
        <v>2664.4694649999997</v>
      </c>
      <c r="F16" s="81">
        <v>2475</v>
      </c>
      <c r="H16" s="78"/>
    </row>
    <row r="17" spans="2:8" ht="12.75">
      <c r="B17" s="89" t="s">
        <v>63</v>
      </c>
      <c r="D17" s="80">
        <f>+'[2]CONSOL-BS'!$U$20/1000</f>
        <v>7648.061785999998</v>
      </c>
      <c r="F17" s="81">
        <v>6315</v>
      </c>
      <c r="H17" s="78"/>
    </row>
    <row r="18" spans="2:8" ht="12.75">
      <c r="B18" s="89" t="s">
        <v>4</v>
      </c>
      <c r="D18" s="80">
        <f>+'[2]CONSOL-BS'!$U$25/1000</f>
        <v>3755.62971</v>
      </c>
      <c r="F18" s="81">
        <v>3756</v>
      </c>
      <c r="H18" s="78"/>
    </row>
    <row r="19" ht="9.75" customHeight="1">
      <c r="H19" s="78"/>
    </row>
    <row r="20" spans="2:8" ht="12.75">
      <c r="B20" s="79" t="s">
        <v>106</v>
      </c>
      <c r="H20" s="78"/>
    </row>
    <row r="21" spans="2:8" ht="12.75">
      <c r="B21" s="79" t="s">
        <v>5</v>
      </c>
      <c r="D21" s="90">
        <f>+'[2]CONSOL-BS'!$U$29/1000</f>
        <v>28071.93779</v>
      </c>
      <c r="E21" s="78"/>
      <c r="F21" s="91">
        <v>27546</v>
      </c>
      <c r="H21" s="78"/>
    </row>
    <row r="22" spans="2:8" ht="12.75">
      <c r="B22" s="79" t="s">
        <v>6</v>
      </c>
      <c r="D22" s="92">
        <f>+'[2]CONSOL-BS'!$U$30/1000</f>
        <v>104058.52056</v>
      </c>
      <c r="E22" s="78"/>
      <c r="F22" s="93">
        <v>64520</v>
      </c>
      <c r="H22" s="78"/>
    </row>
    <row r="23" spans="2:8" ht="12.75">
      <c r="B23" s="79" t="s">
        <v>7</v>
      </c>
      <c r="D23" s="92">
        <f>+'[2]CONSOL-BS'!$U$31/1000</f>
        <v>725.9391099999999</v>
      </c>
      <c r="E23" s="78"/>
      <c r="F23" s="93">
        <v>659</v>
      </c>
      <c r="H23" s="78"/>
    </row>
    <row r="24" spans="2:8" ht="12.75">
      <c r="B24" s="89" t="s">
        <v>107</v>
      </c>
      <c r="D24" s="92">
        <v>0</v>
      </c>
      <c r="E24" s="78"/>
      <c r="F24" s="93">
        <v>1172</v>
      </c>
      <c r="H24" s="78"/>
    </row>
    <row r="25" spans="2:8" ht="12.75">
      <c r="B25" s="89" t="s">
        <v>65</v>
      </c>
      <c r="D25" s="92">
        <v>0</v>
      </c>
      <c r="E25" s="78"/>
      <c r="F25" s="93">
        <v>1711</v>
      </c>
      <c r="H25" s="78"/>
    </row>
    <row r="26" spans="2:8" ht="12.75">
      <c r="B26" s="79" t="s">
        <v>8</v>
      </c>
      <c r="D26" s="92">
        <f>+'[2]CONSOL-BS'!$U$35/1000</f>
        <v>336.52333000000004</v>
      </c>
      <c r="E26" s="78"/>
      <c r="F26" s="93">
        <v>1594</v>
      </c>
      <c r="H26" s="78"/>
    </row>
    <row r="27" spans="2:8" ht="12.75">
      <c r="B27" s="79" t="s">
        <v>9</v>
      </c>
      <c r="D27" s="92">
        <f>+'[2]CONSOL-BS'!$U$48/1000</f>
        <v>13190.232960000001</v>
      </c>
      <c r="E27" s="78"/>
      <c r="F27" s="93">
        <v>31931</v>
      </c>
      <c r="H27" s="78"/>
    </row>
    <row r="28" spans="2:8" ht="12.75">
      <c r="B28" s="79" t="s">
        <v>10</v>
      </c>
      <c r="D28" s="94">
        <f>+'[2]CONSOL-BS'!$U$49/1000</f>
        <v>24978.20584</v>
      </c>
      <c r="E28" s="78"/>
      <c r="F28" s="95">
        <v>9117</v>
      </c>
      <c r="H28" s="78"/>
    </row>
    <row r="29" spans="4:8" ht="12.75">
      <c r="D29" s="94">
        <f>SUM(D21:D28)+1</f>
        <v>171362.35959</v>
      </c>
      <c r="E29" s="78"/>
      <c r="F29" s="95">
        <f>SUM(F21:F28)</f>
        <v>138250</v>
      </c>
      <c r="H29" s="78"/>
    </row>
    <row r="30" ht="7.5" customHeight="1">
      <c r="H30" s="78"/>
    </row>
    <row r="31" spans="2:8" ht="12.75">
      <c r="B31" s="79" t="s">
        <v>11</v>
      </c>
      <c r="E31" s="78"/>
      <c r="F31" s="96"/>
      <c r="H31" s="78"/>
    </row>
    <row r="32" spans="2:8" ht="12.75">
      <c r="B32" s="79" t="s">
        <v>12</v>
      </c>
      <c r="D32" s="90">
        <f>+'[2]CONSOL-BS'!$U$54/1000</f>
        <v>50003.236079999995</v>
      </c>
      <c r="E32" s="78"/>
      <c r="F32" s="91">
        <v>35038</v>
      </c>
      <c r="H32" s="78"/>
    </row>
    <row r="33" spans="2:8" ht="12.75">
      <c r="B33" s="79" t="s">
        <v>13</v>
      </c>
      <c r="D33" s="92">
        <f>+'[2]CONSOL-BS'!$U$55/1000</f>
        <v>6913.055020000001</v>
      </c>
      <c r="E33" s="78"/>
      <c r="F33" s="93">
        <f>4646+76</f>
        <v>4722</v>
      </c>
      <c r="H33" s="78"/>
    </row>
    <row r="34" spans="2:8" ht="12.75">
      <c r="B34" s="89" t="s">
        <v>108</v>
      </c>
      <c r="D34" s="92">
        <f>-'[2]CONSOL-BS'!$U$38/1000</f>
        <v>16.85629</v>
      </c>
      <c r="E34" s="78"/>
      <c r="F34" s="93">
        <v>0</v>
      </c>
      <c r="H34" s="78"/>
    </row>
    <row r="35" spans="2:8" ht="12.75">
      <c r="B35" s="89" t="s">
        <v>109</v>
      </c>
      <c r="D35" s="92">
        <f>+'[2]CONSOL-BS'!$U$57/1000</f>
        <v>278.89253</v>
      </c>
      <c r="E35" s="78"/>
      <c r="F35" s="93">
        <v>0</v>
      </c>
      <c r="H35" s="78"/>
    </row>
    <row r="36" spans="2:8" ht="12.75">
      <c r="B36" s="79" t="s">
        <v>14</v>
      </c>
      <c r="D36" s="97">
        <f>(+'[2]CONSOL-BS'!$U$69+'[2]CONSOL-BS'!$U$67)/1000</f>
        <v>12151.249</v>
      </c>
      <c r="E36" s="78"/>
      <c r="F36" s="98">
        <v>6855</v>
      </c>
      <c r="H36" s="78"/>
    </row>
    <row r="37" spans="2:8" ht="12.75">
      <c r="B37" s="79" t="s">
        <v>15</v>
      </c>
      <c r="D37" s="97">
        <f>+'[2]CONSOL-BS'!$U$64/1000</f>
        <v>7462.22115</v>
      </c>
      <c r="E37" s="78"/>
      <c r="F37" s="98">
        <v>5434</v>
      </c>
      <c r="H37" s="78"/>
    </row>
    <row r="38" spans="2:8" ht="12.75">
      <c r="B38" s="89" t="s">
        <v>57</v>
      </c>
      <c r="D38" s="94">
        <f>+'[2]CONSOL-BS'!$U$70/1000</f>
        <v>2409.6470099999997</v>
      </c>
      <c r="E38" s="78"/>
      <c r="F38" s="99">
        <v>1004</v>
      </c>
      <c r="H38" s="78"/>
    </row>
    <row r="39" spans="4:8" ht="12.75">
      <c r="D39" s="94">
        <f>SUM(D32:D38)</f>
        <v>79235.15707999999</v>
      </c>
      <c r="E39" s="78"/>
      <c r="F39" s="95">
        <f>SUM(F32:F38)</f>
        <v>53053</v>
      </c>
      <c r="H39" s="78"/>
    </row>
    <row r="40" ht="3.75" customHeight="1">
      <c r="H40" s="78"/>
    </row>
    <row r="41" spans="2:8" ht="15" customHeight="1">
      <c r="B41" s="79" t="s">
        <v>110</v>
      </c>
      <c r="D41" s="100">
        <f>+D29-D39</f>
        <v>92127.20251000002</v>
      </c>
      <c r="E41" s="78"/>
      <c r="F41" s="96">
        <f>+F29-F39</f>
        <v>85197</v>
      </c>
      <c r="H41" s="78"/>
    </row>
    <row r="42" spans="4:8" ht="15" customHeight="1" thickBot="1">
      <c r="D42" s="101">
        <f>+D41+D15+D16+D18+D17</f>
        <v>155120.95354100002</v>
      </c>
      <c r="E42" s="78"/>
      <c r="F42" s="102">
        <f>+F41+F15+F16+F18+F17</f>
        <v>146953</v>
      </c>
      <c r="H42" s="78"/>
    </row>
    <row r="43" ht="13.5" thickTop="1">
      <c r="H43" s="78"/>
    </row>
    <row r="44" ht="0.75" customHeight="1">
      <c r="H44" s="78"/>
    </row>
    <row r="45" spans="2:8" ht="12.75">
      <c r="B45" s="103" t="s">
        <v>111</v>
      </c>
      <c r="H45" s="78"/>
    </row>
    <row r="46" spans="2:8" ht="12.75">
      <c r="B46" s="79" t="s">
        <v>112</v>
      </c>
      <c r="D46" s="80">
        <f>+'[2]CONSOL-BS'!$U$79/1000</f>
        <v>85902.7</v>
      </c>
      <c r="E46" s="78"/>
      <c r="F46" s="81">
        <v>83857</v>
      </c>
      <c r="H46" s="78"/>
    </row>
    <row r="47" spans="5:8" ht="7.5" customHeight="1">
      <c r="E47" s="78"/>
      <c r="H47" s="78"/>
    </row>
    <row r="48" spans="2:8" ht="12.75">
      <c r="B48" s="79" t="s">
        <v>113</v>
      </c>
      <c r="D48" s="90"/>
      <c r="E48" s="78"/>
      <c r="F48" s="91"/>
      <c r="H48" s="78"/>
    </row>
    <row r="49" spans="2:8" ht="12.75">
      <c r="B49" s="89" t="s">
        <v>114</v>
      </c>
      <c r="D49" s="92">
        <f>+'[2]CONSOL-BS'!$U$95/1000+1</f>
        <v>54610.22528824002</v>
      </c>
      <c r="E49" s="78"/>
      <c r="F49" s="93">
        <f>48591-76</f>
        <v>48515</v>
      </c>
      <c r="H49" s="78"/>
    </row>
    <row r="50" spans="2:8" ht="12.75">
      <c r="B50" s="79" t="s">
        <v>115</v>
      </c>
      <c r="D50" s="92">
        <f>+'[2]CONSOL-BS'!$U$85/1000</f>
        <v>6614.9403600000005</v>
      </c>
      <c r="E50" s="78"/>
      <c r="F50" s="93">
        <v>6136</v>
      </c>
      <c r="H50" s="78"/>
    </row>
    <row r="51" spans="2:8" ht="12.75">
      <c r="B51" s="89" t="s">
        <v>116</v>
      </c>
      <c r="D51" s="94">
        <v>0</v>
      </c>
      <c r="E51" s="78"/>
      <c r="F51" s="95">
        <v>741</v>
      </c>
      <c r="H51" s="78"/>
    </row>
    <row r="52" spans="4:8" ht="12.75">
      <c r="D52" s="104">
        <f>SUM(D49:D51)</f>
        <v>61225.16564824002</v>
      </c>
      <c r="E52" s="78"/>
      <c r="F52" s="105">
        <f>SUM(F49:F51)</f>
        <v>55392</v>
      </c>
      <c r="H52" s="78"/>
    </row>
    <row r="53" spans="2:8" ht="15" customHeight="1">
      <c r="B53" s="103" t="s">
        <v>117</v>
      </c>
      <c r="D53" s="106">
        <f>+D52+D46</f>
        <v>147127.86564824003</v>
      </c>
      <c r="E53" s="78"/>
      <c r="F53" s="78">
        <f>+F52+F46</f>
        <v>139249</v>
      </c>
      <c r="H53" s="78"/>
    </row>
    <row r="54" spans="2:8" ht="15" customHeight="1">
      <c r="B54" s="107" t="s">
        <v>16</v>
      </c>
      <c r="D54" s="100">
        <f>+'[2]CONSOL-BS'!$U$99/1000</f>
        <v>4781.08765860734</v>
      </c>
      <c r="E54" s="78"/>
      <c r="F54" s="96">
        <v>3904</v>
      </c>
      <c r="H54" s="78"/>
    </row>
    <row r="55" spans="2:8" ht="15" customHeight="1">
      <c r="B55" s="76" t="s">
        <v>118</v>
      </c>
      <c r="D55" s="80">
        <f>+D53+D54</f>
        <v>151908.95330684737</v>
      </c>
      <c r="E55" s="78"/>
      <c r="F55" s="78">
        <f>+F53+F54</f>
        <v>143153</v>
      </c>
      <c r="H55" s="78"/>
    </row>
    <row r="56" spans="2:8" ht="9.75" customHeight="1">
      <c r="B56" s="107"/>
      <c r="E56" s="78"/>
      <c r="F56" s="78"/>
      <c r="H56" s="78"/>
    </row>
    <row r="57" spans="2:8" ht="12.75">
      <c r="B57" s="89" t="s">
        <v>119</v>
      </c>
      <c r="H57" s="78"/>
    </row>
    <row r="58" spans="2:8" ht="12.75">
      <c r="B58" s="79" t="s">
        <v>17</v>
      </c>
      <c r="D58" s="80">
        <f>+'[2]CONSOL-BS'!$U$107/1000</f>
        <v>3212</v>
      </c>
      <c r="F58" s="81">
        <v>3800</v>
      </c>
      <c r="H58" s="78" t="s">
        <v>120</v>
      </c>
    </row>
    <row r="59" spans="4:8" ht="13.5" thickBot="1">
      <c r="D59" s="101">
        <f>+D55+D58</f>
        <v>155120.95330684737</v>
      </c>
      <c r="E59" s="78"/>
      <c r="F59" s="102">
        <f>+F55+F58</f>
        <v>146953</v>
      </c>
      <c r="H59" s="78"/>
    </row>
    <row r="60" ht="8.25" customHeight="1" thickTop="1">
      <c r="H60" s="78"/>
    </row>
    <row r="61" spans="2:8" ht="12.75">
      <c r="B61" s="89" t="s">
        <v>66</v>
      </c>
      <c r="D61" s="108">
        <f>(+D53+D54)/(D46*2)</f>
        <v>0.8841919596639417</v>
      </c>
      <c r="E61" s="109"/>
      <c r="F61" s="108">
        <f>(+F53+F54)/(F46*2)</f>
        <v>0.8535542649987479</v>
      </c>
      <c r="H61" s="78"/>
    </row>
    <row r="62" spans="5:8" ht="6" customHeight="1">
      <c r="E62" s="109"/>
      <c r="H62" s="78"/>
    </row>
    <row r="63" spans="2:8" ht="12.75">
      <c r="B63" s="79" t="s">
        <v>67</v>
      </c>
      <c r="E63" s="109"/>
      <c r="H63" s="78"/>
    </row>
    <row r="64" spans="2:8" ht="12.75">
      <c r="B64" s="79" t="s">
        <v>68</v>
      </c>
      <c r="D64" s="108">
        <f>(+D53)/(D46*2)</f>
        <v>0.8563634533503606</v>
      </c>
      <c r="E64" s="109"/>
      <c r="F64" s="108">
        <f>(+F53)/(F46*2)</f>
        <v>0.8302765422087601</v>
      </c>
      <c r="H64" s="78"/>
    </row>
    <row r="65" spans="4:8" ht="12.75">
      <c r="D65" s="108"/>
      <c r="E65" s="109"/>
      <c r="F65" s="108"/>
      <c r="H65" s="78"/>
    </row>
    <row r="66" spans="2:8" ht="12.75">
      <c r="B66" s="103" t="s">
        <v>121</v>
      </c>
      <c r="H66" s="78"/>
    </row>
    <row r="67" spans="2:8" ht="12.75">
      <c r="B67" s="103" t="s">
        <v>61</v>
      </c>
      <c r="H67" s="78"/>
    </row>
    <row r="68" ht="12.75">
      <c r="D68" s="108"/>
    </row>
    <row r="71" ht="12.75">
      <c r="D71" s="110"/>
    </row>
  </sheetData>
  <printOptions/>
  <pageMargins left="0.75" right="0.75" top="0.61" bottom="0.19" header="0.5" footer="0.38"/>
  <pageSetup horizontalDpi="600" verticalDpi="600" orientation="portrait" paperSize="9" scale="92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zoomScale="75" zoomScaleNormal="75" workbookViewId="0" topLeftCell="A31">
      <selection activeCell="D32" sqref="D32"/>
    </sheetView>
  </sheetViews>
  <sheetFormatPr defaultColWidth="9.140625" defaultRowHeight="12.75"/>
  <cols>
    <col min="1" max="1" width="3.00390625" style="4" customWidth="1"/>
    <col min="2" max="2" width="48.140625" style="4" customWidth="1"/>
    <col min="3" max="3" width="0.5625" style="4" customWidth="1"/>
    <col min="4" max="4" width="12.7109375" style="20" customWidth="1"/>
    <col min="5" max="5" width="0.85546875" style="21" customWidth="1"/>
    <col min="6" max="6" width="17.8515625" style="20" bestFit="1" customWidth="1"/>
    <col min="7" max="7" width="0.85546875" style="21" customWidth="1"/>
    <col min="8" max="8" width="12.7109375" style="21" customWidth="1"/>
    <col min="9" max="9" width="0.85546875" style="21" customWidth="1"/>
    <col min="10" max="10" width="17.8515625" style="20" bestFit="1" customWidth="1"/>
    <col min="11" max="11" width="0.85546875" style="4" customWidth="1"/>
    <col min="12" max="16384" width="9.140625" style="4" customWidth="1"/>
  </cols>
  <sheetData>
    <row r="1" spans="1:10" ht="15">
      <c r="A1" s="7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"/>
      <c r="B2" s="7"/>
      <c r="C2" s="7"/>
      <c r="D2" s="7"/>
      <c r="E2" s="7"/>
      <c r="F2" s="7"/>
      <c r="G2" s="7"/>
      <c r="H2" s="7"/>
      <c r="I2" s="7"/>
      <c r="J2" s="7"/>
    </row>
    <row r="4" ht="15">
      <c r="A4" s="7" t="str">
        <f>+'Bal sheet'!A8</f>
        <v>Second quarter interim report for the financial period ended 30 September 2006</v>
      </c>
    </row>
    <row r="5" ht="15">
      <c r="A5" s="8" t="s">
        <v>0</v>
      </c>
    </row>
    <row r="6" spans="4:8" ht="15">
      <c r="D6" s="22"/>
      <c r="H6" s="23"/>
    </row>
    <row r="7" spans="1:8" ht="15">
      <c r="A7" s="1" t="s">
        <v>19</v>
      </c>
      <c r="D7" s="22"/>
      <c r="H7" s="23"/>
    </row>
    <row r="8" spans="4:8" ht="15">
      <c r="D8" s="22"/>
      <c r="F8" s="4"/>
      <c r="H8" s="23"/>
    </row>
    <row r="9" spans="4:10" ht="15">
      <c r="D9" s="24" t="s">
        <v>20</v>
      </c>
      <c r="E9" s="25"/>
      <c r="F9" s="25"/>
      <c r="G9" s="26"/>
      <c r="H9" s="27" t="s">
        <v>21</v>
      </c>
      <c r="I9" s="27"/>
      <c r="J9" s="27"/>
    </row>
    <row r="10" spans="4:10" s="9" customFormat="1" ht="15">
      <c r="D10" s="28" t="s">
        <v>22</v>
      </c>
      <c r="E10" s="29"/>
      <c r="F10" s="28" t="s">
        <v>23</v>
      </c>
      <c r="G10" s="29"/>
      <c r="H10" s="29" t="s">
        <v>22</v>
      </c>
      <c r="I10" s="29"/>
      <c r="J10" s="28" t="s">
        <v>23</v>
      </c>
    </row>
    <row r="11" spans="4:10" s="9" customFormat="1" ht="15">
      <c r="D11" s="28" t="s">
        <v>24</v>
      </c>
      <c r="E11" s="29"/>
      <c r="F11" s="28" t="s">
        <v>25</v>
      </c>
      <c r="G11" s="29"/>
      <c r="H11" s="29" t="s">
        <v>24</v>
      </c>
      <c r="I11" s="29"/>
      <c r="J11" s="28" t="s">
        <v>26</v>
      </c>
    </row>
    <row r="12" spans="4:10" s="9" customFormat="1" ht="15">
      <c r="D12" s="28" t="s">
        <v>27</v>
      </c>
      <c r="E12" s="29"/>
      <c r="F12" s="28" t="s">
        <v>27</v>
      </c>
      <c r="G12" s="29"/>
      <c r="H12" s="29" t="s">
        <v>28</v>
      </c>
      <c r="I12" s="29"/>
      <c r="J12" s="28" t="s">
        <v>29</v>
      </c>
    </row>
    <row r="13" spans="4:10" ht="15">
      <c r="D13" s="30"/>
      <c r="E13" s="31"/>
      <c r="F13" s="30"/>
      <c r="G13" s="31"/>
      <c r="H13" s="31"/>
      <c r="I13" s="31"/>
      <c r="J13" s="30"/>
    </row>
    <row r="14" spans="4:10" s="9" customFormat="1" ht="15">
      <c r="D14" s="32" t="s">
        <v>102</v>
      </c>
      <c r="E14" s="29"/>
      <c r="F14" s="32" t="s">
        <v>103</v>
      </c>
      <c r="G14" s="29"/>
      <c r="H14" s="33" t="str">
        <f>+D14</f>
        <v>30/09/06</v>
      </c>
      <c r="I14" s="29"/>
      <c r="J14" s="32" t="str">
        <f>+F14</f>
        <v>30/09/05</v>
      </c>
    </row>
    <row r="15" spans="4:10" s="9" customFormat="1" ht="15">
      <c r="D15" s="28" t="s">
        <v>2</v>
      </c>
      <c r="E15" s="29"/>
      <c r="F15" s="28" t="s">
        <v>2</v>
      </c>
      <c r="G15" s="29"/>
      <c r="H15" s="28" t="s">
        <v>2</v>
      </c>
      <c r="I15" s="29"/>
      <c r="J15" s="28" t="s">
        <v>2</v>
      </c>
    </row>
    <row r="16" spans="4:10" ht="15">
      <c r="D16" s="34"/>
      <c r="E16" s="35"/>
      <c r="F16" s="34"/>
      <c r="G16" s="35"/>
      <c r="H16" s="35"/>
      <c r="I16" s="35"/>
      <c r="J16" s="34"/>
    </row>
    <row r="17" spans="2:10" ht="15">
      <c r="B17" s="4" t="s">
        <v>30</v>
      </c>
      <c r="D17" s="36">
        <f>+H17-'[3]income stat'!$D$17</f>
        <v>100955.60644000002</v>
      </c>
      <c r="E17" s="37"/>
      <c r="F17" s="38">
        <v>88540</v>
      </c>
      <c r="G17" s="37"/>
      <c r="H17" s="36">
        <f>+'[2]CONSOL-IS'!$U$9/1000</f>
        <v>176140.47517000002</v>
      </c>
      <c r="I17" s="37"/>
      <c r="J17" s="38">
        <v>161391</v>
      </c>
    </row>
    <row r="18" spans="4:10" ht="15">
      <c r="D18" s="39"/>
      <c r="E18" s="40"/>
      <c r="F18" s="41"/>
      <c r="G18" s="40"/>
      <c r="H18" s="39"/>
      <c r="I18" s="40"/>
      <c r="J18" s="41"/>
    </row>
    <row r="19" spans="2:10" ht="15">
      <c r="B19" s="4" t="s">
        <v>31</v>
      </c>
      <c r="D19" s="42">
        <f>+H19-'[3]income stat'!$D$19-1</f>
        <v>-92553.78375</v>
      </c>
      <c r="E19" s="40"/>
      <c r="F19" s="43">
        <v>-82850</v>
      </c>
      <c r="G19" s="40"/>
      <c r="H19" s="42">
        <f>+H23-H21-H17+2</f>
        <v>-161627.88222</v>
      </c>
      <c r="I19" s="40"/>
      <c r="J19" s="43">
        <v>-151371</v>
      </c>
    </row>
    <row r="20" spans="4:10" ht="15">
      <c r="D20" s="42"/>
      <c r="E20" s="40"/>
      <c r="F20" s="43"/>
      <c r="G20" s="40"/>
      <c r="H20" s="42"/>
      <c r="I20" s="40"/>
      <c r="J20" s="43"/>
    </row>
    <row r="21" spans="1:10" ht="15">
      <c r="A21" s="44"/>
      <c r="B21" s="4" t="s">
        <v>32</v>
      </c>
      <c r="D21" s="45">
        <f>+H21-'[3]income stat'!$D$21</f>
        <v>872.4839900000002</v>
      </c>
      <c r="E21" s="40"/>
      <c r="F21" s="46">
        <v>610</v>
      </c>
      <c r="G21" s="40"/>
      <c r="H21" s="47">
        <f>+'[2]CONSOL-IS'!$U$48/1000</f>
        <v>1444.3192600000002</v>
      </c>
      <c r="I21" s="40"/>
      <c r="J21" s="46">
        <v>860</v>
      </c>
    </row>
    <row r="22" spans="2:10" ht="15">
      <c r="B22" s="4" t="s">
        <v>33</v>
      </c>
      <c r="D22" s="39"/>
      <c r="F22" s="41"/>
      <c r="H22" s="18"/>
      <c r="J22" s="41"/>
    </row>
    <row r="23" spans="2:10" ht="15">
      <c r="B23" s="8" t="s">
        <v>34</v>
      </c>
      <c r="D23" s="39">
        <f>+D17+D19+D21</f>
        <v>9274.306680000016</v>
      </c>
      <c r="F23" s="41">
        <v>6300</v>
      </c>
      <c r="H23" s="39">
        <f>(+'[2]CONSOL-IS'!$U$32+'[2]CONSOL-IS'!$U$29+'[2]CONSOL-IS'!$U$48)/1000+1</f>
        <v>15954.91221000002</v>
      </c>
      <c r="J23" s="41">
        <v>10880</v>
      </c>
    </row>
    <row r="24" spans="4:10" ht="15">
      <c r="D24" s="39"/>
      <c r="F24" s="41"/>
      <c r="H24" s="18"/>
      <c r="J24" s="41"/>
    </row>
    <row r="25" spans="2:59" ht="15">
      <c r="B25" s="8" t="s">
        <v>35</v>
      </c>
      <c r="D25" s="39">
        <f>+H25-'[3]income stat'!$D$25</f>
        <v>-126.08809999999998</v>
      </c>
      <c r="E25" s="40"/>
      <c r="F25" s="41">
        <v>-80</v>
      </c>
      <c r="G25" s="40"/>
      <c r="H25" s="36">
        <f>-'[2]CONSOL-IS'!$U$29/1000</f>
        <v>-252.09115999999997</v>
      </c>
      <c r="I25" s="40"/>
      <c r="J25" s="41">
        <v>-194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</row>
    <row r="26" spans="2:59" ht="15">
      <c r="B26" s="8"/>
      <c r="D26" s="39"/>
      <c r="E26" s="40"/>
      <c r="F26" s="41"/>
      <c r="G26" s="40"/>
      <c r="H26" s="36"/>
      <c r="I26" s="40"/>
      <c r="J26" s="4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</row>
    <row r="27" spans="2:59" ht="15">
      <c r="B27" s="16" t="s">
        <v>62</v>
      </c>
      <c r="D27" s="39">
        <f>+H27-'[3]income stat'!$D$27</f>
        <v>715.3456816799999</v>
      </c>
      <c r="E27" s="40"/>
      <c r="F27" s="41">
        <v>0</v>
      </c>
      <c r="G27" s="40"/>
      <c r="H27" s="36">
        <f>+'[2]CONSOL-IS'!$U$50/1000</f>
        <v>1207.1047859999999</v>
      </c>
      <c r="I27" s="40"/>
      <c r="J27" s="41">
        <v>0</v>
      </c>
      <c r="K27" s="48"/>
      <c r="L27" s="65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</row>
    <row r="28" spans="4:59" ht="15">
      <c r="D28" s="39"/>
      <c r="E28" s="40"/>
      <c r="F28" s="41"/>
      <c r="G28" s="40"/>
      <c r="H28" s="39"/>
      <c r="I28" s="40"/>
      <c r="J28" s="4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</row>
    <row r="29" spans="2:59" ht="15">
      <c r="B29" s="8" t="s">
        <v>60</v>
      </c>
      <c r="D29" s="49">
        <f>+H29-'[3]income stat'!$D$29</f>
        <v>84.11960500000002</v>
      </c>
      <c r="E29" s="40"/>
      <c r="F29" s="46">
        <v>2005</v>
      </c>
      <c r="G29" s="40"/>
      <c r="H29" s="47">
        <f>+'[2]CONSOL-IS'!$U$52/1000</f>
        <v>189.887965</v>
      </c>
      <c r="I29" s="40"/>
      <c r="J29" s="46">
        <v>3614</v>
      </c>
      <c r="K29" s="48"/>
      <c r="L29" s="65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</row>
    <row r="30" spans="4:59" ht="15">
      <c r="D30" s="39"/>
      <c r="E30" s="40"/>
      <c r="F30" s="41"/>
      <c r="G30" s="40"/>
      <c r="H30" s="39"/>
      <c r="I30" s="40"/>
      <c r="J30" s="41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</row>
    <row r="31" spans="2:59" ht="15">
      <c r="B31" s="7" t="s">
        <v>36</v>
      </c>
      <c r="D31" s="39">
        <f>SUM(D23:D29)-1</f>
        <v>9946.683866680014</v>
      </c>
      <c r="E31" s="40"/>
      <c r="F31" s="41">
        <f>SUM(F23:F29)</f>
        <v>8225</v>
      </c>
      <c r="G31" s="40"/>
      <c r="H31" s="39">
        <f>SUM(H23:H29)</f>
        <v>17099.813801000022</v>
      </c>
      <c r="I31" s="40"/>
      <c r="J31" s="41">
        <f>SUM(J23:J29)</f>
        <v>14300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</row>
    <row r="32" spans="4:59" ht="15">
      <c r="D32" s="39"/>
      <c r="E32" s="40"/>
      <c r="F32" s="41"/>
      <c r="G32" s="40"/>
      <c r="H32" s="36"/>
      <c r="I32" s="40"/>
      <c r="J32" s="41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</row>
    <row r="33" spans="2:10" ht="15">
      <c r="B33" s="8" t="s">
        <v>69</v>
      </c>
      <c r="D33" s="45">
        <f>+H33-'[3]income stat'!$D$33</f>
        <v>-1782.015</v>
      </c>
      <c r="F33" s="46">
        <v>-1561</v>
      </c>
      <c r="H33" s="45">
        <f>+'[2]CONSOL-IS'!$U$65/1000</f>
        <v>-3532.811</v>
      </c>
      <c r="J33" s="46">
        <v>-2871</v>
      </c>
    </row>
    <row r="34" spans="4:10" ht="5.25" customHeight="1">
      <c r="D34" s="41">
        <f>+D30+D32</f>
        <v>0</v>
      </c>
      <c r="E34" s="40"/>
      <c r="F34" s="41"/>
      <c r="G34" s="40"/>
      <c r="H34" s="36"/>
      <c r="I34" s="40"/>
      <c r="J34" s="41"/>
    </row>
    <row r="35" spans="2:10" ht="15.75" thickBot="1">
      <c r="B35" s="1" t="s">
        <v>70</v>
      </c>
      <c r="D35" s="66">
        <f>+D31+D33</f>
        <v>8164.668866680014</v>
      </c>
      <c r="E35" s="40"/>
      <c r="F35" s="67">
        <f>+F31+F33</f>
        <v>6664</v>
      </c>
      <c r="G35" s="40"/>
      <c r="H35" s="66">
        <f>+H31+H33</f>
        <v>13567.002801000022</v>
      </c>
      <c r="I35" s="40"/>
      <c r="J35" s="67">
        <f>+J31+J33</f>
        <v>11429</v>
      </c>
    </row>
    <row r="36" spans="4:10" ht="15.75" thickTop="1">
      <c r="D36" s="39"/>
      <c r="E36" s="40"/>
      <c r="F36" s="41"/>
      <c r="G36" s="40"/>
      <c r="H36" s="36"/>
      <c r="I36" s="40"/>
      <c r="J36" s="41"/>
    </row>
    <row r="37" spans="2:10" ht="15">
      <c r="B37" s="4" t="s">
        <v>71</v>
      </c>
      <c r="D37" s="39"/>
      <c r="E37" s="40"/>
      <c r="F37" s="41"/>
      <c r="G37" s="40"/>
      <c r="H37" s="36"/>
      <c r="I37" s="40"/>
      <c r="J37" s="41"/>
    </row>
    <row r="38" spans="2:10" ht="15">
      <c r="B38" s="4" t="s">
        <v>72</v>
      </c>
      <c r="D38" s="39">
        <f>+D35-D39</f>
        <v>7740.762231420013</v>
      </c>
      <c r="E38" s="40"/>
      <c r="F38" s="41">
        <v>6545</v>
      </c>
      <c r="G38" s="40"/>
      <c r="H38" s="39">
        <f>+H35-H39</f>
        <v>12690.096165740022</v>
      </c>
      <c r="I38" s="40"/>
      <c r="J38" s="41">
        <v>11218</v>
      </c>
    </row>
    <row r="39" spans="2:10" ht="15">
      <c r="B39" s="8" t="s">
        <v>16</v>
      </c>
      <c r="D39" s="45">
        <f>+H39-'[3]income stat'!$D$39</f>
        <v>423.9066352599999</v>
      </c>
      <c r="E39" s="40"/>
      <c r="F39" s="46">
        <v>119</v>
      </c>
      <c r="G39" s="40"/>
      <c r="H39" s="45">
        <f>-'[2]CONSOL-IS'!$U$69/1000</f>
        <v>876.9066352599999</v>
      </c>
      <c r="I39" s="40"/>
      <c r="J39" s="46">
        <v>211</v>
      </c>
    </row>
    <row r="40" spans="2:10" ht="5.25" customHeight="1">
      <c r="B40" s="8"/>
      <c r="D40" s="39"/>
      <c r="E40" s="40"/>
      <c r="F40" s="41"/>
      <c r="G40" s="40"/>
      <c r="H40" s="39"/>
      <c r="I40" s="40"/>
      <c r="J40" s="41"/>
    </row>
    <row r="41" spans="1:10" ht="15.75" thickBot="1">
      <c r="A41" s="8"/>
      <c r="B41" s="8"/>
      <c r="D41" s="66">
        <f>SUM(D38:D40)</f>
        <v>8164.668866680014</v>
      </c>
      <c r="E41" s="40"/>
      <c r="F41" s="67">
        <v>6664</v>
      </c>
      <c r="G41" s="40"/>
      <c r="H41" s="66">
        <f>SUM(H38:H40)</f>
        <v>13567.002801000022</v>
      </c>
      <c r="I41" s="40"/>
      <c r="J41" s="67">
        <f>SUM(J38:J40)</f>
        <v>11429</v>
      </c>
    </row>
    <row r="42" spans="4:10" ht="15.75" thickTop="1">
      <c r="D42" s="39"/>
      <c r="E42" s="40"/>
      <c r="F42" s="41"/>
      <c r="G42" s="40"/>
      <c r="H42" s="39"/>
      <c r="I42" s="40"/>
      <c r="J42" s="41"/>
    </row>
    <row r="43" spans="2:10" ht="15">
      <c r="B43" s="7" t="s">
        <v>73</v>
      </c>
      <c r="D43" s="39"/>
      <c r="E43" s="40"/>
      <c r="F43" s="41"/>
      <c r="G43" s="40"/>
      <c r="H43" s="39"/>
      <c r="I43" s="40"/>
      <c r="J43" s="41" t="s">
        <v>37</v>
      </c>
    </row>
    <row r="44" spans="2:10" ht="15">
      <c r="B44" s="7" t="s">
        <v>74</v>
      </c>
      <c r="D44" s="39"/>
      <c r="E44" s="40"/>
      <c r="F44" s="41"/>
      <c r="G44" s="40"/>
      <c r="H44" s="39"/>
      <c r="I44" s="40"/>
      <c r="J44" s="41"/>
    </row>
    <row r="45" spans="2:10" ht="15.75" thickBot="1">
      <c r="B45" s="8" t="s">
        <v>75</v>
      </c>
      <c r="D45" s="50">
        <f>+'[2]Basic0906'!$C$103</f>
        <v>4.526449541828166</v>
      </c>
      <c r="E45" s="40"/>
      <c r="F45" s="51">
        <v>3.98</v>
      </c>
      <c r="G45" s="40"/>
      <c r="H45" s="50">
        <f>+'[2]Basic0906'!$C$64</f>
        <v>7.467333009818435</v>
      </c>
      <c r="I45" s="40"/>
      <c r="J45" s="51">
        <v>6.86</v>
      </c>
    </row>
    <row r="46" spans="2:10" ht="15.75" thickBot="1">
      <c r="B46" s="8" t="s">
        <v>76</v>
      </c>
      <c r="D46" s="52">
        <f>+'[2]Diluted0906'!$D$46</f>
        <v>4.477392908505133</v>
      </c>
      <c r="E46" s="40"/>
      <c r="F46" s="53">
        <v>3.94</v>
      </c>
      <c r="G46" s="40">
        <f>+'[1]Diluted0606'!$D$24</f>
        <v>2.8982685217080717</v>
      </c>
      <c r="H46" s="52">
        <f>+'[2]Diluted0906'!$D$24</f>
        <v>7.3918109827028715</v>
      </c>
      <c r="I46" s="40"/>
      <c r="J46" s="53">
        <v>6.79</v>
      </c>
    </row>
    <row r="47" spans="2:10" ht="15">
      <c r="B47" s="16"/>
      <c r="D47" s="54"/>
      <c r="E47" s="40"/>
      <c r="F47" s="55"/>
      <c r="G47" s="40"/>
      <c r="H47" s="54"/>
      <c r="I47" s="40"/>
      <c r="J47" s="55"/>
    </row>
    <row r="48" spans="2:10" ht="15">
      <c r="B48" s="16"/>
      <c r="D48" s="54"/>
      <c r="E48" s="40"/>
      <c r="F48" s="55"/>
      <c r="G48" s="40"/>
      <c r="H48" s="54"/>
      <c r="I48" s="40"/>
      <c r="J48" s="55"/>
    </row>
    <row r="49" spans="2:10" ht="15">
      <c r="B49" s="7" t="s">
        <v>91</v>
      </c>
      <c r="D49" s="41"/>
      <c r="E49" s="40"/>
      <c r="F49" s="41"/>
      <c r="G49" s="40"/>
      <c r="H49" s="41"/>
      <c r="I49" s="40"/>
      <c r="J49" s="41"/>
    </row>
    <row r="50" spans="2:10" ht="15">
      <c r="B50" s="13" t="s">
        <v>18</v>
      </c>
      <c r="D50" s="41"/>
      <c r="E50" s="40"/>
      <c r="F50" s="41"/>
      <c r="G50" s="40"/>
      <c r="H50" s="41"/>
      <c r="I50" s="40"/>
      <c r="J50" s="41"/>
    </row>
    <row r="51" spans="4:10" ht="15">
      <c r="D51" s="41"/>
      <c r="E51" s="40"/>
      <c r="F51" s="41"/>
      <c r="G51" s="40"/>
      <c r="H51" s="41"/>
      <c r="I51" s="40"/>
      <c r="J51" s="41"/>
    </row>
    <row r="52" spans="4:10" ht="15">
      <c r="D52" s="41"/>
      <c r="E52" s="40"/>
      <c r="F52" s="41"/>
      <c r="G52" s="40"/>
      <c r="H52" s="40"/>
      <c r="I52" s="40"/>
      <c r="J52" s="41"/>
    </row>
    <row r="53" spans="4:10" ht="15">
      <c r="D53" s="41"/>
      <c r="E53" s="40"/>
      <c r="F53" s="41"/>
      <c r="G53" s="40"/>
      <c r="H53" s="41"/>
      <c r="I53" s="40"/>
      <c r="J53" s="41"/>
    </row>
    <row r="54" spans="4:10" ht="15">
      <c r="D54" s="41"/>
      <c r="E54" s="40"/>
      <c r="F54" s="41"/>
      <c r="G54" s="40"/>
      <c r="H54" s="41"/>
      <c r="I54" s="40"/>
      <c r="J54" s="41"/>
    </row>
    <row r="55" spans="4:10" ht="15">
      <c r="D55" s="41"/>
      <c r="E55" s="40"/>
      <c r="F55" s="41"/>
      <c r="G55" s="40"/>
      <c r="H55" s="41"/>
      <c r="I55" s="40"/>
      <c r="J55" s="41"/>
    </row>
  </sheetData>
  <printOptions/>
  <pageMargins left="0.81" right="0.41" top="1.3" bottom="0.5" header="0.25" footer="1.14"/>
  <pageSetup fitToHeight="1" fitToWidth="1" horizontalDpi="600" verticalDpi="600" orientation="portrait" paperSize="9" scale="78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25">
      <selection activeCell="I12" sqref="I12"/>
    </sheetView>
  </sheetViews>
  <sheetFormatPr defaultColWidth="9.140625" defaultRowHeight="12.75"/>
  <cols>
    <col min="1" max="1" width="2.140625" style="4" customWidth="1"/>
    <col min="2" max="2" width="46.421875" style="4" customWidth="1"/>
    <col min="3" max="3" width="5.7109375" style="4" customWidth="1"/>
    <col min="4" max="4" width="15.7109375" style="6" customWidth="1"/>
    <col min="5" max="5" width="1.421875" style="4" customWidth="1"/>
    <col min="6" max="6" width="15.7109375" style="6" customWidth="1"/>
    <col min="7" max="16384" width="9.140625" style="4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2"/>
      <c r="B2" s="2"/>
      <c r="C2" s="2"/>
      <c r="D2" s="2"/>
      <c r="E2" s="2"/>
      <c r="F2" s="2"/>
    </row>
    <row r="3" spans="1:6" ht="15">
      <c r="A3" s="61"/>
      <c r="B3" s="61"/>
      <c r="C3" s="61"/>
      <c r="D3" s="61"/>
      <c r="E3" s="61"/>
      <c r="F3" s="61"/>
    </row>
    <row r="4" ht="15">
      <c r="A4" s="7" t="str">
        <f>+'Bal sheet'!A8</f>
        <v>Second quarter interim report for the financial period ended 30 September 2006</v>
      </c>
    </row>
    <row r="5" ht="15">
      <c r="A5" s="8" t="s">
        <v>0</v>
      </c>
    </row>
    <row r="6" ht="15">
      <c r="A6" s="7"/>
    </row>
    <row r="7" ht="15">
      <c r="A7" s="7" t="s">
        <v>45</v>
      </c>
    </row>
    <row r="8" ht="15">
      <c r="A8" s="7"/>
    </row>
    <row r="9" spans="4:6" s="9" customFormat="1" ht="15">
      <c r="D9" s="11" t="s">
        <v>102</v>
      </c>
      <c r="F9" s="11" t="s">
        <v>103</v>
      </c>
    </row>
    <row r="10" spans="4:6" s="9" customFormat="1" ht="15">
      <c r="D10" s="12" t="s">
        <v>2</v>
      </c>
      <c r="E10" s="10"/>
      <c r="F10" s="12" t="s">
        <v>2</v>
      </c>
    </row>
    <row r="12" ht="15">
      <c r="B12" s="13" t="s">
        <v>46</v>
      </c>
    </row>
    <row r="13" ht="3.75" customHeight="1"/>
    <row r="14" spans="2:6" ht="15">
      <c r="B14" s="4" t="s">
        <v>36</v>
      </c>
      <c r="D14" s="18">
        <f>+'[2]CONSOL-CF'!$Z$10/1000+1</f>
        <v>17099.81380100002</v>
      </c>
      <c r="F14" s="20">
        <v>14300</v>
      </c>
    </row>
    <row r="15" spans="2:6" ht="15">
      <c r="B15" s="4" t="s">
        <v>47</v>
      </c>
      <c r="D15" s="45">
        <f>+('[2]CONSOL-CF'!$Z$14+'[2]CONSOL-CF'!$Z$18+'[2]CONSOL-CF'!$Z$19+'[2]CONSOL-CF'!$Z$21+'[2]CONSOL-CF'!$Z$22+'[2]CONSOL-CF'!$Z$23+'[2]CONSOL-CF'!$Z$25)/1000-1</f>
        <v>651.704699</v>
      </c>
      <c r="F15" s="17">
        <v>-1537</v>
      </c>
    </row>
    <row r="16" spans="2:6" ht="15">
      <c r="B16" s="16" t="s">
        <v>48</v>
      </c>
      <c r="D16" s="5">
        <f>SUM(D14:D15)</f>
        <v>17751.51850000002</v>
      </c>
      <c r="F16" s="6">
        <f>SUM(F14:F15)</f>
        <v>12763</v>
      </c>
    </row>
    <row r="17" spans="2:6" ht="15">
      <c r="B17" s="16" t="s">
        <v>49</v>
      </c>
      <c r="D17" s="14">
        <v>-19797</v>
      </c>
      <c r="F17" s="17">
        <v>959</v>
      </c>
    </row>
    <row r="18" spans="2:6" ht="15">
      <c r="B18" s="8" t="s">
        <v>93</v>
      </c>
      <c r="D18" s="5">
        <f>+'[2]CONSOL-CF'!$Z$43/1000</f>
        <v>-2045.0918599999864</v>
      </c>
      <c r="F18" s="6">
        <f>SUM(F16:F17)</f>
        <v>13722</v>
      </c>
    </row>
    <row r="19" spans="2:6" ht="15">
      <c r="B19" s="16" t="s">
        <v>50</v>
      </c>
      <c r="D19" s="5">
        <f>+'[2]CONSOL-CF'!$Z$45/1000</f>
        <v>-238.25806</v>
      </c>
      <c r="F19" s="6">
        <v>-178</v>
      </c>
    </row>
    <row r="20" spans="2:6" ht="15">
      <c r="B20" s="16" t="s">
        <v>51</v>
      </c>
      <c r="D20" s="14">
        <f>(+'[2]CONSOL-CF'!$Z$47+'[2]CONSOL-CF'!$Z$46)/1000-1</f>
        <v>-1458.474</v>
      </c>
      <c r="F20" s="17">
        <v>-2175</v>
      </c>
    </row>
    <row r="21" spans="2:6" ht="15.75" thickBot="1">
      <c r="B21" s="8" t="s">
        <v>87</v>
      </c>
      <c r="D21" s="58">
        <f>SUM(D18:D20)+1</f>
        <v>-3740.823919999986</v>
      </c>
      <c r="F21" s="59">
        <f>SUM(F18:F20)</f>
        <v>11369</v>
      </c>
    </row>
    <row r="22" ht="12.75" customHeight="1">
      <c r="D22" s="5"/>
    </row>
    <row r="23" spans="2:4" ht="15">
      <c r="B23" s="13" t="s">
        <v>52</v>
      </c>
      <c r="D23" s="5"/>
    </row>
    <row r="24" ht="4.5" customHeight="1">
      <c r="D24" s="5"/>
    </row>
    <row r="25" spans="2:6" ht="15">
      <c r="B25" s="4" t="s">
        <v>53</v>
      </c>
      <c r="D25" s="15">
        <f>+'[2]CONSOL-CF'!$Z$54/1000</f>
        <v>198.67213999999998</v>
      </c>
      <c r="F25" s="3">
        <v>112</v>
      </c>
    </row>
    <row r="26" spans="2:6" ht="15">
      <c r="B26" s="4" t="s">
        <v>3</v>
      </c>
      <c r="D26" s="14">
        <f>(+'[2]CONSOL-CF'!$Z$60+'[2]CONSOL-CF'!$Z$58)/1000</f>
        <v>-1725.672</v>
      </c>
      <c r="F26" s="17">
        <v>-407</v>
      </c>
    </row>
    <row r="27" spans="2:6" ht="15.75" thickBot="1">
      <c r="B27" s="8" t="s">
        <v>86</v>
      </c>
      <c r="D27" s="62">
        <f>SUM(D25:D26)</f>
        <v>-1526.9998600000001</v>
      </c>
      <c r="F27" s="63">
        <f>SUM(F25:F26)</f>
        <v>-295</v>
      </c>
    </row>
    <row r="28" ht="12.75" customHeight="1">
      <c r="D28" s="5"/>
    </row>
    <row r="29" spans="2:4" ht="15">
      <c r="B29" s="13" t="s">
        <v>54</v>
      </c>
      <c r="D29" s="5"/>
    </row>
    <row r="30" spans="2:4" ht="4.5" customHeight="1">
      <c r="B30" s="13"/>
      <c r="D30" s="15"/>
    </row>
    <row r="31" spans="2:6" ht="13.5" customHeight="1">
      <c r="B31" s="16" t="s">
        <v>55</v>
      </c>
      <c r="D31" s="15">
        <f>(+'[2]CONSOL-CF'!$Z$71+'[2]CONSOL-CF'!$Z$88)/1000-1</f>
        <v>5295.54</v>
      </c>
      <c r="F31" s="3">
        <v>1643</v>
      </c>
    </row>
    <row r="32" spans="2:6" ht="15">
      <c r="B32" s="16" t="s">
        <v>58</v>
      </c>
      <c r="D32" s="15">
        <f>+'[2]CONSOL-CF'!$Z$75/1000</f>
        <v>2524.932</v>
      </c>
      <c r="F32" s="3">
        <v>1861</v>
      </c>
    </row>
    <row r="33" spans="2:6" ht="15">
      <c r="B33" s="8" t="s">
        <v>56</v>
      </c>
      <c r="D33" s="14">
        <f>+'[2]CONSOL-CF'!$Z$83/1000</f>
        <v>-5433.934</v>
      </c>
      <c r="F33" s="17">
        <v>-5673</v>
      </c>
    </row>
    <row r="34" spans="2:6" ht="15.75" thickBot="1">
      <c r="B34" s="8" t="s">
        <v>104</v>
      </c>
      <c r="D34" s="62">
        <f>SUM(D31:D33)</f>
        <v>2386.5379999999996</v>
      </c>
      <c r="F34" s="63">
        <f>SUM(F31:F33)</f>
        <v>-2169</v>
      </c>
    </row>
    <row r="35" ht="12.75" customHeight="1">
      <c r="D35" s="5"/>
    </row>
    <row r="36" spans="2:6" ht="15">
      <c r="B36" s="8" t="s">
        <v>88</v>
      </c>
      <c r="D36" s="5">
        <f>+D21+D27+D34</f>
        <v>-2881.2857799999865</v>
      </c>
      <c r="F36" s="6">
        <f>+F21+F27+F34</f>
        <v>8905</v>
      </c>
    </row>
    <row r="37" ht="4.5" customHeight="1">
      <c r="D37" s="5"/>
    </row>
    <row r="38" spans="2:6" ht="15">
      <c r="B38" s="8" t="s">
        <v>89</v>
      </c>
      <c r="D38" s="5">
        <f>+'[2]CONSOL-CF'!$Z$99/1000</f>
        <v>41048.725</v>
      </c>
      <c r="F38" s="6">
        <v>24977</v>
      </c>
    </row>
    <row r="39" ht="4.5" customHeight="1">
      <c r="D39" s="5"/>
    </row>
    <row r="40" spans="2:6" ht="15.75" thickBot="1">
      <c r="B40" s="8" t="s">
        <v>90</v>
      </c>
      <c r="D40" s="58">
        <f>+D36+D38+1</f>
        <v>38168.439220000015</v>
      </c>
      <c r="F40" s="59">
        <f>+F36+F38</f>
        <v>33882</v>
      </c>
    </row>
    <row r="42" ht="15">
      <c r="B42" s="7" t="s">
        <v>91</v>
      </c>
    </row>
    <row r="43" spans="2:4" ht="15">
      <c r="B43" s="13" t="s">
        <v>18</v>
      </c>
      <c r="D43" s="64"/>
    </row>
  </sheetData>
  <printOptions/>
  <pageMargins left="0.91" right="0.5" top="1.02" bottom="1.18" header="0.25" footer="1.21"/>
  <pageSetup horizontalDpi="600" verticalDpi="600" orientation="portrait" paperSize="9" scale="90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75" zoomScaleNormal="75" workbookViewId="0" topLeftCell="A27">
      <selection activeCell="J34" sqref="J34"/>
    </sheetView>
  </sheetViews>
  <sheetFormatPr defaultColWidth="9.140625" defaultRowHeight="12.75"/>
  <cols>
    <col min="1" max="1" width="2.421875" style="4" customWidth="1"/>
    <col min="2" max="2" width="35.57421875" style="4" customWidth="1"/>
    <col min="3" max="3" width="0.71875" style="4" customWidth="1"/>
    <col min="4" max="4" width="13.8515625" style="4" customWidth="1"/>
    <col min="5" max="5" width="0.5625" style="4" customWidth="1"/>
    <col min="6" max="6" width="14.00390625" style="4" customWidth="1"/>
    <col min="7" max="7" width="0.71875" style="4" customWidth="1"/>
    <col min="8" max="8" width="13.8515625" style="4" customWidth="1"/>
    <col min="9" max="9" width="0.85546875" style="4" customWidth="1"/>
    <col min="10" max="10" width="13.8515625" style="4" customWidth="1"/>
    <col min="11" max="11" width="0.85546875" style="4" customWidth="1"/>
    <col min="12" max="12" width="13.8515625" style="4" customWidth="1"/>
    <col min="13" max="13" width="0.71875" style="4" customWidth="1"/>
    <col min="14" max="14" width="13.8515625" style="6" customWidth="1"/>
    <col min="15" max="15" width="0.71875" style="4" customWidth="1"/>
    <col min="16" max="16" width="13.8515625" style="6" customWidth="1"/>
    <col min="17" max="16384" width="9.140625" style="4" customWidth="1"/>
  </cols>
  <sheetData>
    <row r="1" spans="1:12" ht="1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">
      <c r="A3" s="7"/>
    </row>
    <row r="4" ht="15">
      <c r="A4" s="7" t="str">
        <f>+'Bal sheet'!A8</f>
        <v>Second quarter interim report for the financial period ended 30 September 2006</v>
      </c>
    </row>
    <row r="5" ht="15">
      <c r="A5" s="8" t="s">
        <v>0</v>
      </c>
    </row>
    <row r="7" ht="15">
      <c r="A7" s="13" t="s">
        <v>38</v>
      </c>
    </row>
    <row r="9" spans="4:12" ht="15">
      <c r="D9" s="111" t="s">
        <v>94</v>
      </c>
      <c r="E9" s="112"/>
      <c r="F9" s="112"/>
      <c r="G9" s="112"/>
      <c r="H9" s="112"/>
      <c r="I9" s="112"/>
      <c r="J9" s="112"/>
      <c r="K9" s="112"/>
      <c r="L9" s="112"/>
    </row>
    <row r="10" spans="5:12" ht="15">
      <c r="E10" s="61"/>
      <c r="F10" s="112" t="s">
        <v>79</v>
      </c>
      <c r="G10" s="112"/>
      <c r="H10" s="112"/>
      <c r="I10" s="61"/>
      <c r="J10" s="4" t="s">
        <v>78</v>
      </c>
      <c r="K10" s="61"/>
      <c r="L10" s="61"/>
    </row>
    <row r="12" spans="4:16" s="9" customFormat="1" ht="15">
      <c r="D12" s="69" t="s">
        <v>39</v>
      </c>
      <c r="E12" s="10"/>
      <c r="F12" s="68" t="s">
        <v>39</v>
      </c>
      <c r="G12" s="10"/>
      <c r="H12" s="68" t="s">
        <v>95</v>
      </c>
      <c r="I12" s="10"/>
      <c r="J12" s="68" t="s">
        <v>40</v>
      </c>
      <c r="K12" s="10"/>
      <c r="L12" s="61"/>
      <c r="N12" s="70" t="s">
        <v>77</v>
      </c>
      <c r="P12" s="70" t="s">
        <v>44</v>
      </c>
    </row>
    <row r="13" spans="4:16" s="9" customFormat="1" ht="15">
      <c r="D13" s="68" t="s">
        <v>41</v>
      </c>
      <c r="E13" s="10"/>
      <c r="F13" s="68" t="s">
        <v>42</v>
      </c>
      <c r="G13" s="10"/>
      <c r="H13" s="68" t="s">
        <v>96</v>
      </c>
      <c r="I13" s="10"/>
      <c r="J13" s="68" t="s">
        <v>43</v>
      </c>
      <c r="K13" s="10"/>
      <c r="L13" s="68" t="s">
        <v>44</v>
      </c>
      <c r="N13" s="71" t="s">
        <v>99</v>
      </c>
      <c r="P13" s="70" t="s">
        <v>80</v>
      </c>
    </row>
    <row r="14" spans="4:16" s="9" customFormat="1" ht="15">
      <c r="D14" s="69" t="s">
        <v>2</v>
      </c>
      <c r="E14" s="10"/>
      <c r="F14" s="69" t="s">
        <v>2</v>
      </c>
      <c r="G14" s="57"/>
      <c r="H14" s="68" t="s">
        <v>2</v>
      </c>
      <c r="I14" s="10"/>
      <c r="J14" s="69" t="s">
        <v>2</v>
      </c>
      <c r="K14" s="10"/>
      <c r="L14" s="69" t="s">
        <v>2</v>
      </c>
      <c r="N14" s="71" t="s">
        <v>2</v>
      </c>
      <c r="P14" s="71" t="s">
        <v>2</v>
      </c>
    </row>
    <row r="16" spans="2:20" ht="15">
      <c r="B16" s="7" t="s">
        <v>81</v>
      </c>
      <c r="D16" s="15">
        <v>83857</v>
      </c>
      <c r="E16" s="15"/>
      <c r="F16" s="15">
        <v>6136</v>
      </c>
      <c r="G16" s="15">
        <f>G44</f>
        <v>0</v>
      </c>
      <c r="H16" s="15">
        <v>741</v>
      </c>
      <c r="I16" s="15">
        <f>I44</f>
        <v>0</v>
      </c>
      <c r="J16" s="15">
        <f>48591-76</f>
        <v>48515</v>
      </c>
      <c r="K16" s="15">
        <f>K44</f>
        <v>0</v>
      </c>
      <c r="L16" s="15">
        <f>SUM(D16:K16)</f>
        <v>139249</v>
      </c>
      <c r="M16" s="48"/>
      <c r="N16" s="15">
        <v>3904</v>
      </c>
      <c r="O16" s="48"/>
      <c r="P16" s="15">
        <f>SUM(L16:N16)</f>
        <v>143153</v>
      </c>
      <c r="Q16" s="48"/>
      <c r="R16" s="48"/>
      <c r="S16" s="48"/>
      <c r="T16" s="48"/>
    </row>
    <row r="17" spans="2:20" ht="15">
      <c r="B17" s="7"/>
      <c r="D17" s="15"/>
      <c r="E17" s="15"/>
      <c r="F17" s="15"/>
      <c r="G17" s="15"/>
      <c r="H17" s="15"/>
      <c r="I17" s="15"/>
      <c r="J17" s="15"/>
      <c r="K17" s="15"/>
      <c r="L17" s="15"/>
      <c r="M17" s="48"/>
      <c r="N17" s="15"/>
      <c r="O17" s="48"/>
      <c r="P17" s="15"/>
      <c r="Q17" s="48"/>
      <c r="R17" s="48"/>
      <c r="S17" s="48"/>
      <c r="T17" s="48"/>
    </row>
    <row r="18" spans="2:17" ht="15">
      <c r="B18" s="8" t="s">
        <v>98</v>
      </c>
      <c r="D18" s="15">
        <v>0</v>
      </c>
      <c r="E18" s="15"/>
      <c r="F18" s="15">
        <v>0</v>
      </c>
      <c r="G18" s="15"/>
      <c r="H18" s="15">
        <v>-741</v>
      </c>
      <c r="I18" s="15"/>
      <c r="J18" s="15">
        <v>867</v>
      </c>
      <c r="K18" s="15"/>
      <c r="L18" s="15">
        <f>SUM(D18:J18)</f>
        <v>126</v>
      </c>
      <c r="M18" s="48"/>
      <c r="N18" s="15">
        <v>0</v>
      </c>
      <c r="O18" s="48"/>
      <c r="P18" s="15">
        <f>+L18+N18</f>
        <v>126</v>
      </c>
      <c r="Q18" s="48"/>
    </row>
    <row r="19" spans="2:17" ht="8.25" customHeight="1" hidden="1">
      <c r="B19" s="7"/>
      <c r="D19" s="15"/>
      <c r="E19" s="15"/>
      <c r="F19" s="15"/>
      <c r="G19" s="15"/>
      <c r="H19" s="15"/>
      <c r="I19" s="15"/>
      <c r="J19" s="15"/>
      <c r="K19" s="15"/>
      <c r="L19" s="15"/>
      <c r="M19" s="48"/>
      <c r="N19" s="15"/>
      <c r="O19" s="48"/>
      <c r="P19" s="15"/>
      <c r="Q19" s="48"/>
    </row>
    <row r="20" spans="2:12" ht="15" hidden="1">
      <c r="B20" s="8" t="s">
        <v>82</v>
      </c>
      <c r="D20" s="5"/>
      <c r="E20" s="5"/>
      <c r="F20" s="5"/>
      <c r="G20" s="5"/>
      <c r="H20" s="5"/>
      <c r="I20" s="5"/>
      <c r="J20" s="5"/>
      <c r="K20" s="5"/>
      <c r="L20" s="5"/>
    </row>
    <row r="21" spans="2:16" ht="15" hidden="1">
      <c r="B21" s="8" t="s">
        <v>85</v>
      </c>
      <c r="D21" s="5">
        <v>0</v>
      </c>
      <c r="E21" s="5"/>
      <c r="F21" s="5">
        <v>0</v>
      </c>
      <c r="G21" s="5"/>
      <c r="H21" s="5">
        <v>0</v>
      </c>
      <c r="I21" s="5"/>
      <c r="J21" s="5">
        <v>0</v>
      </c>
      <c r="K21" s="5"/>
      <c r="L21" s="5">
        <f>SUM(D21:J21)</f>
        <v>0</v>
      </c>
      <c r="N21" s="6">
        <v>0</v>
      </c>
      <c r="P21" s="6">
        <f>+L21+N21</f>
        <v>0</v>
      </c>
    </row>
    <row r="22" spans="4:12" ht="15" hidden="1">
      <c r="D22" s="5"/>
      <c r="E22" s="5"/>
      <c r="F22" s="5"/>
      <c r="G22" s="5"/>
      <c r="H22" s="5"/>
      <c r="I22" s="5"/>
      <c r="J22" s="5"/>
      <c r="K22" s="5"/>
      <c r="L22" s="5"/>
    </row>
    <row r="23" spans="4:12" ht="15">
      <c r="D23" s="5"/>
      <c r="E23" s="5"/>
      <c r="F23" s="5"/>
      <c r="G23" s="5"/>
      <c r="H23" s="5"/>
      <c r="I23" s="5"/>
      <c r="J23" s="5"/>
      <c r="K23" s="5"/>
      <c r="L23" s="5"/>
    </row>
    <row r="24" spans="2:18" ht="15">
      <c r="B24" s="8" t="s">
        <v>97</v>
      </c>
      <c r="D24" s="15">
        <v>0</v>
      </c>
      <c r="E24" s="15"/>
      <c r="F24" s="15">
        <v>0</v>
      </c>
      <c r="G24" s="15"/>
      <c r="H24" s="15">
        <v>0</v>
      </c>
      <c r="I24" s="15"/>
      <c r="J24" s="39">
        <f>+'income stat'!H38</f>
        <v>12690.096165740022</v>
      </c>
      <c r="K24" s="15"/>
      <c r="L24" s="15">
        <f>SUM(D24:K24)</f>
        <v>12690.096165740022</v>
      </c>
      <c r="M24" s="48"/>
      <c r="N24" s="15">
        <f>+'income stat'!H39</f>
        <v>876.9066352599999</v>
      </c>
      <c r="O24" s="48"/>
      <c r="P24" s="15">
        <f>+L24+N24</f>
        <v>13567.002801000022</v>
      </c>
      <c r="Q24" s="48"/>
      <c r="R24" s="48"/>
    </row>
    <row r="25" spans="2:18" ht="15" hidden="1">
      <c r="B25" s="16" t="s">
        <v>83</v>
      </c>
      <c r="D25" s="15"/>
      <c r="E25" s="15"/>
      <c r="F25" s="15"/>
      <c r="G25" s="15"/>
      <c r="H25" s="15"/>
      <c r="I25" s="15"/>
      <c r="J25" s="39"/>
      <c r="K25" s="15"/>
      <c r="L25" s="15"/>
      <c r="M25" s="48"/>
      <c r="N25" s="3"/>
      <c r="O25" s="48"/>
      <c r="P25" s="3"/>
      <c r="Q25" s="48"/>
      <c r="R25" s="48"/>
    </row>
    <row r="26" spans="2:18" ht="15" hidden="1">
      <c r="B26" s="16" t="s">
        <v>84</v>
      </c>
      <c r="D26" s="15">
        <f>+D21+D24</f>
        <v>0</v>
      </c>
      <c r="E26" s="15"/>
      <c r="F26" s="15">
        <f>+F21+F24</f>
        <v>0</v>
      </c>
      <c r="G26" s="15"/>
      <c r="H26" s="15">
        <f>+H21+H24</f>
        <v>0</v>
      </c>
      <c r="I26" s="15"/>
      <c r="J26" s="15">
        <v>0</v>
      </c>
      <c r="K26" s="15"/>
      <c r="L26" s="15">
        <v>0</v>
      </c>
      <c r="M26" s="48"/>
      <c r="N26" s="15"/>
      <c r="O26" s="48"/>
      <c r="P26" s="15"/>
      <c r="Q26" s="48"/>
      <c r="R26" s="48"/>
    </row>
    <row r="27" spans="2:18" ht="15">
      <c r="B27" s="8"/>
      <c r="D27" s="15"/>
      <c r="E27" s="15"/>
      <c r="F27" s="15"/>
      <c r="G27" s="15"/>
      <c r="H27" s="15"/>
      <c r="I27" s="15"/>
      <c r="J27" s="15"/>
      <c r="K27" s="15"/>
      <c r="L27" s="15"/>
      <c r="M27" s="48"/>
      <c r="N27" s="3"/>
      <c r="O27" s="48"/>
      <c r="P27" s="3"/>
      <c r="Q27" s="48"/>
      <c r="R27" s="48"/>
    </row>
    <row r="28" spans="2:16" ht="15">
      <c r="B28" s="16" t="s">
        <v>59</v>
      </c>
      <c r="D28" s="5">
        <f>+D33-D16</f>
        <v>2045.699999999997</v>
      </c>
      <c r="E28" s="5"/>
      <c r="F28" s="5">
        <f>+F33-F16</f>
        <v>478.9403600000005</v>
      </c>
      <c r="G28" s="5"/>
      <c r="H28" s="5">
        <v>0</v>
      </c>
      <c r="I28" s="5"/>
      <c r="J28" s="5">
        <v>0</v>
      </c>
      <c r="K28" s="5"/>
      <c r="L28" s="5">
        <f>SUM(D28:K28)</f>
        <v>2524.6403599999976</v>
      </c>
      <c r="N28" s="6">
        <v>0</v>
      </c>
      <c r="P28" s="5">
        <f>+L28+N28</f>
        <v>2524.6403599999976</v>
      </c>
    </row>
    <row r="29" spans="2:16" ht="15">
      <c r="B29" s="8"/>
      <c r="D29" s="5"/>
      <c r="E29" s="5"/>
      <c r="F29" s="5"/>
      <c r="G29" s="5"/>
      <c r="H29" s="5"/>
      <c r="I29" s="5"/>
      <c r="J29" s="5"/>
      <c r="K29" s="5"/>
      <c r="L29" s="5"/>
      <c r="M29" s="72"/>
      <c r="N29" s="3"/>
      <c r="O29" s="48"/>
      <c r="P29" s="3"/>
    </row>
    <row r="30" spans="2:16" ht="15">
      <c r="B30" s="16" t="s">
        <v>124</v>
      </c>
      <c r="D30" s="5"/>
      <c r="E30" s="5"/>
      <c r="F30" s="5"/>
      <c r="G30" s="5"/>
      <c r="H30" s="5"/>
      <c r="I30" s="5"/>
      <c r="J30" s="5"/>
      <c r="K30" s="5"/>
      <c r="L30" s="5"/>
      <c r="M30" s="48"/>
      <c r="N30" s="3"/>
      <c r="O30" s="48"/>
      <c r="P30" s="3"/>
    </row>
    <row r="31" spans="2:16" ht="15">
      <c r="B31" s="16" t="s">
        <v>125</v>
      </c>
      <c r="D31" s="5">
        <v>0</v>
      </c>
      <c r="E31" s="5"/>
      <c r="F31" s="5">
        <v>0</v>
      </c>
      <c r="G31" s="5"/>
      <c r="H31" s="5">
        <v>0</v>
      </c>
      <c r="I31" s="5"/>
      <c r="J31" s="5">
        <v>-7462</v>
      </c>
      <c r="K31" s="5"/>
      <c r="L31" s="5">
        <f>SUM(D31:J31)</f>
        <v>-7462</v>
      </c>
      <c r="M31" s="48"/>
      <c r="N31" s="3">
        <v>0</v>
      </c>
      <c r="O31" s="48"/>
      <c r="P31" s="15">
        <f>+L31</f>
        <v>-7462</v>
      </c>
    </row>
    <row r="32" spans="2:16" ht="15">
      <c r="B32" s="8"/>
      <c r="D32" s="5"/>
      <c r="E32" s="5"/>
      <c r="F32" s="5"/>
      <c r="G32" s="5"/>
      <c r="H32" s="5"/>
      <c r="I32" s="5"/>
      <c r="J32" s="5"/>
      <c r="K32" s="5"/>
      <c r="L32" s="5"/>
      <c r="M32" s="48"/>
      <c r="N32" s="3"/>
      <c r="O32" s="48"/>
      <c r="P32" s="3"/>
    </row>
    <row r="33" spans="2:16" ht="15.75" thickBot="1">
      <c r="B33" s="7" t="s">
        <v>123</v>
      </c>
      <c r="D33" s="58">
        <f>+'Bal sheet'!D46</f>
        <v>85902.7</v>
      </c>
      <c r="E33" s="58">
        <f>SUM(E16:E29)</f>
        <v>0</v>
      </c>
      <c r="F33" s="58">
        <f>+'Bal sheet'!D50</f>
        <v>6614.9403600000005</v>
      </c>
      <c r="G33" s="58">
        <f>SUM(G16:G29)</f>
        <v>0</v>
      </c>
      <c r="H33" s="58">
        <f>+H16+H18</f>
        <v>0</v>
      </c>
      <c r="I33" s="58">
        <f>SUM(I16:I29)</f>
        <v>0</v>
      </c>
      <c r="J33" s="58">
        <f>+J16+J18+J24+J31</f>
        <v>54610.09616574002</v>
      </c>
      <c r="K33" s="58">
        <f>SUM(K16:K29)</f>
        <v>0</v>
      </c>
      <c r="L33" s="58">
        <f>+L16+L18+L24+L28+L31</f>
        <v>147127.73652574</v>
      </c>
      <c r="M33" s="73"/>
      <c r="N33" s="58">
        <f>+N16+N24</f>
        <v>4780.90663526</v>
      </c>
      <c r="O33" s="73"/>
      <c r="P33" s="58">
        <f>+P16+P18+P24+P28+P31</f>
        <v>151908.643161</v>
      </c>
    </row>
    <row r="34" spans="4:12" ht="15">
      <c r="D34" s="6"/>
      <c r="E34" s="6"/>
      <c r="F34" s="6"/>
      <c r="G34" s="6"/>
      <c r="H34" s="6"/>
      <c r="I34" s="6"/>
      <c r="J34" s="6"/>
      <c r="K34" s="6"/>
      <c r="L34" s="6"/>
    </row>
    <row r="35" spans="2:12" ht="15">
      <c r="B35" s="7"/>
      <c r="D35" s="6"/>
      <c r="E35" s="6"/>
      <c r="F35" s="6"/>
      <c r="G35" s="6"/>
      <c r="H35" s="6"/>
      <c r="I35" s="6"/>
      <c r="J35" s="6"/>
      <c r="K35" s="6"/>
      <c r="L35" s="6"/>
    </row>
    <row r="36" spans="2:16" ht="15">
      <c r="B36" s="7" t="s">
        <v>92</v>
      </c>
      <c r="D36" s="6">
        <v>81264</v>
      </c>
      <c r="E36" s="6">
        <f>E66</f>
        <v>0</v>
      </c>
      <c r="F36" s="6">
        <v>5505</v>
      </c>
      <c r="G36" s="6">
        <f>G66</f>
        <v>0</v>
      </c>
      <c r="H36" s="6">
        <v>783</v>
      </c>
      <c r="I36" s="6">
        <f>I66</f>
        <v>0</v>
      </c>
      <c r="J36" s="6">
        <v>43941</v>
      </c>
      <c r="K36" s="6">
        <f>K66</f>
        <v>0</v>
      </c>
      <c r="L36" s="6">
        <f>SUM(D36:K36)</f>
        <v>131493</v>
      </c>
      <c r="N36" s="6">
        <v>4698</v>
      </c>
      <c r="P36" s="6">
        <f>+L36+N36</f>
        <v>136191</v>
      </c>
    </row>
    <row r="37" spans="4:12" ht="15" customHeight="1">
      <c r="D37" s="6"/>
      <c r="E37" s="6"/>
      <c r="F37" s="6"/>
      <c r="G37" s="6"/>
      <c r="H37" s="6"/>
      <c r="I37" s="6"/>
      <c r="J37" s="6"/>
      <c r="K37" s="6"/>
      <c r="L37" s="6"/>
    </row>
    <row r="38" spans="2:16" ht="15" customHeight="1">
      <c r="B38" s="8" t="s">
        <v>100</v>
      </c>
      <c r="D38" s="6">
        <v>0</v>
      </c>
      <c r="E38" s="6"/>
      <c r="F38" s="6">
        <v>0</v>
      </c>
      <c r="G38" s="6"/>
      <c r="H38" s="6">
        <v>-21</v>
      </c>
      <c r="I38" s="6"/>
      <c r="J38" s="6">
        <v>0</v>
      </c>
      <c r="K38" s="6"/>
      <c r="L38" s="6">
        <f>SUM(D38:K38)</f>
        <v>-21</v>
      </c>
      <c r="N38" s="6">
        <v>0</v>
      </c>
      <c r="P38" s="6">
        <f>+L38+N38</f>
        <v>-21</v>
      </c>
    </row>
    <row r="39" spans="2:12" ht="15" customHeight="1">
      <c r="B39" s="8"/>
      <c r="D39" s="6"/>
      <c r="E39" s="6"/>
      <c r="F39" s="6"/>
      <c r="G39" s="6"/>
      <c r="H39" s="6"/>
      <c r="I39" s="6"/>
      <c r="J39" s="6"/>
      <c r="K39" s="6"/>
      <c r="L39" s="6"/>
    </row>
    <row r="40" spans="2:17" ht="15">
      <c r="B40" s="8" t="s">
        <v>97</v>
      </c>
      <c r="D40" s="3">
        <v>0</v>
      </c>
      <c r="E40" s="3"/>
      <c r="F40" s="75">
        <v>0</v>
      </c>
      <c r="G40" s="3"/>
      <c r="H40" s="3">
        <v>0</v>
      </c>
      <c r="I40" s="3"/>
      <c r="J40" s="3">
        <f>+'income stat'!J38</f>
        <v>11218</v>
      </c>
      <c r="K40" s="3"/>
      <c r="L40" s="3">
        <f>SUM(D40:K40)</f>
        <v>11218</v>
      </c>
      <c r="M40" s="48"/>
      <c r="N40" s="3">
        <v>211</v>
      </c>
      <c r="O40" s="48"/>
      <c r="P40" s="3">
        <f>+L40+N40</f>
        <v>11429</v>
      </c>
      <c r="Q40" s="48"/>
    </row>
    <row r="41" spans="2:17" ht="15">
      <c r="B41" s="8"/>
      <c r="D41" s="3"/>
      <c r="E41" s="3"/>
      <c r="F41" s="75"/>
      <c r="G41" s="3"/>
      <c r="H41" s="3"/>
      <c r="I41" s="3"/>
      <c r="J41" s="3"/>
      <c r="K41" s="3"/>
      <c r="L41" s="3"/>
      <c r="M41" s="48"/>
      <c r="N41" s="3"/>
      <c r="O41" s="48"/>
      <c r="P41" s="3"/>
      <c r="Q41" s="48"/>
    </row>
    <row r="42" spans="2:16" ht="15">
      <c r="B42" s="16" t="s">
        <v>59</v>
      </c>
      <c r="D42" s="6">
        <v>1489</v>
      </c>
      <c r="E42" s="6"/>
      <c r="F42" s="6">
        <v>372</v>
      </c>
      <c r="G42" s="6"/>
      <c r="H42" s="6">
        <v>0</v>
      </c>
      <c r="I42" s="6"/>
      <c r="J42" s="20">
        <v>0</v>
      </c>
      <c r="K42" s="6"/>
      <c r="L42" s="6">
        <f>SUM(D42:J42)</f>
        <v>1861</v>
      </c>
      <c r="N42" s="6">
        <v>0</v>
      </c>
      <c r="P42" s="6">
        <f>+L42+N42</f>
        <v>1861</v>
      </c>
    </row>
    <row r="43" spans="2:16" ht="15">
      <c r="B43" s="8"/>
      <c r="D43" s="6"/>
      <c r="E43" s="6"/>
      <c r="F43" s="6"/>
      <c r="G43" s="6"/>
      <c r="H43" s="6"/>
      <c r="I43" s="6"/>
      <c r="J43" s="20"/>
      <c r="K43" s="6"/>
      <c r="L43" s="6"/>
      <c r="M43" s="72"/>
      <c r="N43" s="17"/>
      <c r="O43" s="72"/>
      <c r="P43" s="17"/>
    </row>
    <row r="44" spans="2:16" ht="15.75" thickBot="1">
      <c r="B44" s="7" t="s">
        <v>122</v>
      </c>
      <c r="D44" s="59">
        <f>D38+D40+D42+D36</f>
        <v>82753</v>
      </c>
      <c r="E44" s="59">
        <f>SUM(E37:E43)</f>
        <v>0</v>
      </c>
      <c r="F44" s="59">
        <f>F38+F40+F42+F36</f>
        <v>5877</v>
      </c>
      <c r="G44" s="59">
        <f>SUM(G37:G43)</f>
        <v>0</v>
      </c>
      <c r="H44" s="59">
        <f>H38+H40+H42+H36</f>
        <v>762</v>
      </c>
      <c r="I44" s="59">
        <f>SUM(I37:I43)</f>
        <v>0</v>
      </c>
      <c r="J44" s="59">
        <f>J38+J40+J42+J36</f>
        <v>55159</v>
      </c>
      <c r="K44" s="59">
        <f>SUM(K37:K43)</f>
        <v>0</v>
      </c>
      <c r="L44" s="59">
        <f>L38+L40+L42+L36</f>
        <v>144551</v>
      </c>
      <c r="M44" s="74"/>
      <c r="N44" s="59">
        <f>N38+N40+N42+N36</f>
        <v>4909</v>
      </c>
      <c r="O44" s="74"/>
      <c r="P44" s="59">
        <f>P38+P40+P42+P36</f>
        <v>149460</v>
      </c>
    </row>
    <row r="45" spans="2:12" ht="15">
      <c r="B45" s="8"/>
      <c r="D45" s="3"/>
      <c r="E45" s="3"/>
      <c r="F45" s="3"/>
      <c r="G45" s="3"/>
      <c r="H45" s="3"/>
      <c r="I45" s="3"/>
      <c r="J45" s="3"/>
      <c r="K45" s="3"/>
      <c r="L45" s="3"/>
    </row>
    <row r="46" spans="2:12" ht="18">
      <c r="B46" s="60"/>
      <c r="D46" s="3"/>
      <c r="E46" s="3"/>
      <c r="F46" s="3"/>
      <c r="G46" s="3"/>
      <c r="H46" s="3"/>
      <c r="I46" s="3"/>
      <c r="J46" s="3"/>
      <c r="K46" s="3"/>
      <c r="L46" s="3"/>
    </row>
    <row r="47" spans="2:12" ht="15">
      <c r="B47" s="7" t="s">
        <v>91</v>
      </c>
      <c r="D47" s="6"/>
      <c r="E47" s="6"/>
      <c r="F47" s="6"/>
      <c r="G47" s="6"/>
      <c r="H47" s="6"/>
      <c r="I47" s="6"/>
      <c r="J47" s="6"/>
      <c r="K47" s="6"/>
      <c r="L47" s="6"/>
    </row>
    <row r="48" spans="2:12" ht="15">
      <c r="B48" s="13" t="s">
        <v>18</v>
      </c>
      <c r="D48" s="6"/>
      <c r="E48" s="6"/>
      <c r="F48" s="6"/>
      <c r="G48" s="6"/>
      <c r="H48" s="6"/>
      <c r="I48" s="6"/>
      <c r="J48" s="6"/>
      <c r="K48" s="6"/>
      <c r="L48" s="6"/>
    </row>
  </sheetData>
  <mergeCells count="2">
    <mergeCell ref="D9:L9"/>
    <mergeCell ref="F10:H10"/>
  </mergeCells>
  <printOptions horizontalCentered="1"/>
  <pageMargins left="0.25" right="0.25" top="0" bottom="0.3" header="0.25" footer="0.19"/>
  <pageSetup horizontalDpi="600" verticalDpi="600" orientation="landscape" paperSize="9" scale="80" r:id="rId2"/>
  <headerFooter alignWithMargins="0"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fin-cost1 </cp:lastModifiedBy>
  <cp:lastPrinted>2006-11-15T04:39:13Z</cp:lastPrinted>
  <dcterms:created xsi:type="dcterms:W3CDTF">1996-10-14T23:33:28Z</dcterms:created>
  <dcterms:modified xsi:type="dcterms:W3CDTF">2006-11-15T06:59:17Z</dcterms:modified>
  <cp:category/>
  <cp:version/>
  <cp:contentType/>
  <cp:contentStatus/>
</cp:coreProperties>
</file>